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bca48f9994e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rtada" sheetId="1" r:id="R75835e508ea842d2"/>
    <x:sheet xmlns:r="http://schemas.openxmlformats.org/officeDocument/2006/relationships" name="LEEME" sheetId="2" r:id="R0013e1f597a3460b"/>
    <x:sheet xmlns:r="http://schemas.openxmlformats.org/officeDocument/2006/relationships" name="Fuentes" sheetId="3" r:id="Ra9f934580c0c41dd"/>
    <x:sheet xmlns:r="http://schemas.openxmlformats.org/officeDocument/2006/relationships" name="Datos originales" sheetId="4" r:id="R3d4c52200e2b4e57"/>
    <x:sheet xmlns:r="http://schemas.openxmlformats.org/officeDocument/2006/relationships" name="Parámetros" sheetId="5" r:id="R0b8571fe5ac4464f"/>
    <x:sheet xmlns:r="http://schemas.openxmlformats.org/officeDocument/2006/relationships" name="Senda estatutaria" sheetId="6" r:id="R35266b879dfa4528"/>
    <x:sheet xmlns:r="http://schemas.openxmlformats.org/officeDocument/2006/relationships" name="Modelo central" sheetId="7" r:id="R0f3dcb09f661462d"/>
    <x:sheet xmlns:r="http://schemas.openxmlformats.org/officeDocument/2006/relationships" name="UCA ordinarias" sheetId="8" r:id="R37418b9d6470453f"/>
    <x:sheet xmlns:r="http://schemas.openxmlformats.org/officeDocument/2006/relationships" name="UCA-I" sheetId="9" r:id="Rc5c03af579e3457e"/>
    <x:sheet xmlns:r="http://schemas.openxmlformats.org/officeDocument/2006/relationships" name="Escenarios" sheetId="10" r:id="R750fa52940494958"/>
    <x:sheet xmlns:r="http://schemas.openxmlformats.org/officeDocument/2006/relationships" name="Pruebas de estrés" sheetId="11" r:id="R3ee0efb6b758468f"/>
    <x:sheet xmlns:r="http://schemas.openxmlformats.org/officeDocument/2006/relationships" name="Monte Carlo" sheetId="12" r:id="Rad1a50b3bceb4bae"/>
    <x:sheet xmlns:r="http://schemas.openxmlformats.org/officeDocument/2006/relationships" name="Percentiles MC" sheetId="13" r:id="R6ba3516e266f496b"/>
    <x:sheet xmlns:r="http://schemas.openxmlformats.org/officeDocument/2006/relationships" name="Sensibilidad" sheetId="14" r:id="R355e06da178b4e0e"/>
    <x:sheet xmlns:r="http://schemas.openxmlformats.org/officeDocument/2006/relationships" name="Resultados" sheetId="15" r:id="R458ae98bea414146"/>
    <x:sheet xmlns:r="http://schemas.openxmlformats.org/officeDocument/2006/relationships" name="Reconciliación" sheetId="16" r:id="R0ce85b04c83c4e06"/>
    <x:sheet xmlns:r="http://schemas.openxmlformats.org/officeDocument/2006/relationships" name="Panel de control" sheetId="17" r:id="R70deb92fed614395"/>
    <x:sheet xmlns:r="http://schemas.openxmlformats.org/officeDocument/2006/relationships" name="Checks" sheetId="18" r:id="R6fb2d703ef014e15"/>
    <x:sheet xmlns:r="http://schemas.openxmlformats.org/officeDocument/2006/relationships" name="Trazabilidad parámetros" sheetId="19" r:id="R42fdf8045be14daf"/>
    <x:sheet xmlns:r="http://schemas.openxmlformats.org/officeDocument/2006/relationships" name="MC error" sheetId="20" r:id="Rc51d0b4ef07649c7"/>
    <x:sheet xmlns:r="http://schemas.openxmlformats.org/officeDocument/2006/relationships" name="Incertidumbre" sheetId="21" r:id="R1b303a774b954e30"/>
    <x:sheet xmlns:r="http://schemas.openxmlformats.org/officeDocument/2006/relationships" name="Reverse stress" sheetId="22" r:id="R6ed844eb7ceb4c8a"/>
    <x:sheet xmlns:r="http://schemas.openxmlformats.org/officeDocument/2006/relationships" name="Procedencia parámetros" sheetId="23" r:id="R5e3b893f055e4f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2">
    <x:numFmt numFmtId="164" formatCode="0.0"/>
    <x:numFmt numFmtId="165" formatCode="#,##0.0"/>
    <x:numFmt numFmtId="166" formatCode="#,##0.0000"/>
    <x:numFmt numFmtId="167" formatCode="0.000x"/>
    <x:numFmt numFmtId="168" formatCode="0.0%"/>
    <x:numFmt numFmtId="169" formatCode="0.00,, &quot;bn€&quot;"/>
    <x:numFmt numFmtId="170" formatCode="0.0E+00"/>
    <x:numFmt numFmtId="200" formatCode="0.00"/>
    <x:numFmt numFmtId="201" formatCode="0"/>
    <x:numFmt numFmtId="202" formatCode="0.0000%"/>
    <x:numFmt numFmtId="203" formatCode="#,##0.000000"/>
    <x:numFmt numFmtId="204" formatCode="#,##0.00"/>
  </x:numFmts>
  <x:fonts count="22">
    <x:font>
      <x:sz val="11"/>
      <x:name val="Carlito"/>
    </x:font>
    <x:font>
      <x:b/>
      <x:sz val="26"/>
      <x:color rgb="FFFFFFFF"/>
      <x:name val="Carlito"/>
    </x:font>
    <x:font>
      <x:b/>
      <x:sz val="16"/>
      <x:color rgb="FF17365D"/>
      <x:name val="Carlito"/>
    </x:font>
    <x:font>
      <x:sz val="12"/>
      <x:color rgb="FF17365D"/>
      <x:name val="Carlito"/>
    </x:font>
    <x:font>
      <x:i/>
      <x:sz val="11"/>
      <x:color rgb="FF5B6573"/>
      <x:name val="Carlito"/>
    </x:font>
    <x:font>
      <x:b/>
      <x:sz val="11"/>
      <x:color rgb="FF17365D"/>
      <x:name val="Carlito"/>
    </x:font>
    <x:font>
      <x:b/>
      <x:sz val="18"/>
      <x:color rgb="FFFFFFFF"/>
      <x:name val="Carlito"/>
    </x:font>
    <x:font>
      <x:i/>
      <x:sz val="10"/>
      <x:color rgb="FF17365D"/>
      <x:name val="Carlito"/>
    </x:font>
    <x:font>
      <x:b/>
      <x:sz val="11"/>
      <x:color rgb="FFFFFFFF"/>
      <x:name val="Carlito"/>
    </x:font>
    <x:font>
      <x:sz val="11"/>
      <x:color rgb="FF17365D"/>
      <x:name val="Consolas"/>
    </x:font>
    <x:font>
      <x:i/>
      <x:sz val="9"/>
      <x:color rgb="FF5B6573"/>
      <x:name val="Carlito"/>
    </x:font>
    <x:font>
      <x:sz val="11"/>
      <x:color rgb="FF008000"/>
      <x:name val="Carlito"/>
    </x:font>
    <x:font>
      <x:sz val="11"/>
      <x:color rgb="FF0563C1"/>
      <x:name val="Carlito"/>
    </x:font>
    <x:font>
      <x:sz val="9"/>
      <x:color rgb="FF000000"/>
      <x:name val="Carlito"/>
    </x:font>
    <x:font>
      <x:b/>
      <x:sz val="9"/>
      <x:color rgb="FF17365D"/>
      <x:name val="Carlito"/>
    </x:font>
    <x:font>
      <x:sz val="11"/>
      <x:color rgb="FF000000"/>
      <x:name val="Carlito"/>
    </x:font>
    <x:font>
      <x:b/>
      <x:sz val="18"/>
      <x:color rgb="FF17365D"/>
      <x:name val="Carlito"/>
    </x:font>
    <x:font>
      <x:b/>
      <x:sz val="16"/>
      <x:color rgb="FFFFFFFF"/>
      <x:name val="Carlito"/>
    </x:font>
    <x:font>
      <x:sz val="11"/>
      <x:color rgb="FF0070C0"/>
      <x:name val="Carlito"/>
    </x:font>
    <x:font>
      <x:b/>
      <x:sz val="11"/>
      <x:color rgb="FF375623"/>
      <x:name val="Carlito"/>
    </x:font>
    <x:font>
      <x:b/>
      <x:sz val="15"/>
      <x:color rgb="FFFFFFFF"/>
      <x:name val="Carlito"/>
    </x:font>
    <x:font>
      <x:i/>
      <x:sz val="11"/>
      <x:color rgb="FF595959"/>
      <x:name val="Carlito"/>
    </x:font>
  </x:fonts>
  <x:fills count="19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CE6F1"/>
      </x:patternFill>
    </x:fill>
    <x:fill>
      <x:patternFill patternType="solid">
        <x:fgColor rgb="FFF6E8C8"/>
      </x:patternFill>
    </x:fill>
    <x:fill>
      <x:patternFill patternType="solid">
        <x:fgColor rgb="FF244A73"/>
      </x:patternFill>
    </x:fill>
    <x:fill>
      <x:patternFill patternType="solid">
        <x:fgColor rgb="FFF7F8FA"/>
      </x:patternFill>
    </x:fill>
    <x:fill>
      <x:patternFill patternType="solid">
        <x:fgColor rgb="FFF2F4F7"/>
      </x:patternFill>
    </x:fill>
    <x:fill>
      <x:patternFill patternType="solid">
        <x:fgColor rgb="FFF7F9FC"/>
      </x:patternFill>
    </x:fill>
    <x:fill>
      <x:patternFill patternType="solid">
        <x:fgColor rgb="FF17365D"/>
      </x:patternFill>
    </x:fill>
    <x:fill>
      <x:patternFill patternType="solid">
        <x:fgColor rgb="FFDCE6F1"/>
      </x:patternFill>
    </x:fill>
    <x:fill>
      <x:patternFill patternType="solid">
        <x:fgColor rgb="FF8B1E1E"/>
      </x:patternFill>
    </x:fill>
    <x:fill>
      <x:patternFill patternType="solid">
        <x:fgColor rgb="FFEAF2F8"/>
      </x:patternFill>
    </x:fill>
    <x:fill>
      <x:patternFill patternType="solid">
        <x:fgColor rgb="FFE2F0D9"/>
      </x:patternFill>
    </x:fill>
    <x:fill>
      <x:patternFill patternType="solid">
        <x:fgColor rgb="FF17365D"/>
      </x:patternFill>
    </x:fill>
    <x:fill>
      <x:patternFill patternType="solid">
        <x:fgColor rgb="FFD9E7F3"/>
      </x:patternFill>
    </x:fill>
    <x:fill>
      <x:patternFill patternType="solid">
        <x:fgColor rgb="FFEDF4FA"/>
      </x:patternFill>
    </x:fill>
    <x:fill>
      <x:patternFill patternType="solid">
        <x:fgColor rgb="FFF4CCCC"/>
      </x:patternFill>
    </x:fill>
    <x:fill>
      <x:patternFill patternType="solid">
        <x:fgColor rgb="FFF6E6B4"/>
      </x:patternFill>
    </x:fill>
  </x:fills>
  <x:borders count="33">
    <x:border/>
    <x:border>
      <x:left style="medium">
        <x:color rgb="FF17365D"/>
      </x:left>
      <x:top style="medium">
        <x:color rgb="FF17365D"/>
      </x:top>
    </x:border>
    <x:border>
      <x:top style="medium">
        <x:color rgb="FF17365D"/>
      </x:top>
    </x:border>
    <x:border>
      <x:right style="medium">
        <x:color rgb="FF17365D"/>
      </x:right>
      <x:top style="medium">
        <x:color rgb="FF17365D"/>
      </x:top>
    </x:border>
    <x:border>
      <x:left style="medium">
        <x:color rgb="FF17365D"/>
      </x:left>
    </x:border>
    <x:border>
      <x:right style="medium">
        <x:color rgb="FF17365D"/>
      </x:right>
    </x:border>
    <x:border>
      <x:left style="medium">
        <x:color rgb="FF17365D"/>
      </x:left>
      <x:bottom style="medium">
        <x:color rgb="FF17365D"/>
      </x:bottom>
    </x:border>
    <x:border>
      <x:bottom style="medium">
        <x:color rgb="FF17365D"/>
      </x:bottom>
    </x:border>
    <x:border>
      <x:right style="medium">
        <x:color rgb="FF17365D"/>
      </x:right>
      <x:bottom style="medium">
        <x:color rgb="FF17365D"/>
      </x:bottom>
    </x:border>
    <x:border>
      <x:left style="thin">
        <x:color rgb="FF17365D"/>
      </x:left>
      <x:top style="thin">
        <x:color rgb="FF17365D"/>
      </x:top>
      <x:bottom style="thin">
        <x:color rgb="FF17365D"/>
      </x:bottom>
    </x:border>
    <x:border>
      <x:top style="thin">
        <x:color rgb="FF17365D"/>
      </x:top>
      <x:bottom style="thin">
        <x:color rgb="FF17365D"/>
      </x:bottom>
    </x:border>
    <x:border>
      <x:right style="thin">
        <x:color rgb="FF17365D"/>
      </x:right>
      <x:top style="thin">
        <x:color rgb="FF17365D"/>
      </x:top>
      <x:bottom style="thin">
        <x:color rgb="FF17365D"/>
      </x:bottom>
    </x:border>
    <x:border>
      <x:bottom style="thin">
        <x:color rgb="FFD9DEE7"/>
      </x:bottom>
    </x:border>
    <x:border>
      <x:top style="thin">
        <x:color rgb="FFD9DEE7"/>
      </x:top>
      <x:bottom style="thin">
        <x:color rgb="FFD9DEE7"/>
      </x:bottom>
    </x:border>
    <x:border>
      <x:top style="thin">
        <x:color rgb="FFD9DEE7"/>
      </x:top>
    </x:border>
    <x:border>
      <x:left style="thin">
        <x:color rgb="FFD9A441"/>
      </x:left>
      <x:top style="thin">
        <x:color rgb="FFD9A441"/>
      </x:top>
      <x:bottom style="thin">
        <x:color rgb="FFD9A441"/>
      </x:bottom>
    </x:border>
    <x:border>
      <x:top style="thin">
        <x:color rgb="FFD9A441"/>
      </x:top>
      <x:bottom style="thin">
        <x:color rgb="FFD9A441"/>
      </x:bottom>
    </x:border>
    <x:border>
      <x:right style="thin">
        <x:color rgb="FFD9A441"/>
      </x:right>
      <x:top style="thin">
        <x:color rgb="FFD9A441"/>
      </x:top>
      <x:bottom style="thin">
        <x:color rgb="FFD9A441"/>
      </x:bottom>
    </x:border>
    <x:border>
      <x:left style="thin">
        <x:color rgb="FFD9DEE7"/>
      </x:left>
      <x:top style="thin">
        <x:color rgb="FFD9DEE7"/>
      </x:top>
    </x:border>
    <x:border>
      <x:right style="thin">
        <x:color rgb="FFD9DEE7"/>
      </x:right>
      <x:top style="thin">
        <x:color rgb="FFD9DEE7"/>
      </x:top>
    </x:border>
    <x:border>
      <x:left style="thin">
        <x:color rgb="FFD9DEE7"/>
      </x:left>
    </x:border>
    <x:border>
      <x:right style="thin">
        <x:color rgb="FFD9DEE7"/>
      </x:right>
    </x:border>
    <x:border>
      <x:left style="thin">
        <x:color rgb="FFD9DEE7"/>
      </x:left>
      <x:bottom style="thin">
        <x:color rgb="FFD9DEE7"/>
      </x:bottom>
    </x:border>
    <x:border>
      <x:right style="thin">
        <x:color rgb="FFD9DEE7"/>
      </x:right>
      <x:bottom style="thin">
        <x:color rgb="FFD9DEE7"/>
      </x:bottom>
    </x:border>
    <x:border>
      <x:bottom style="thin">
        <x:color rgb="FFECEFF3"/>
      </x:bottom>
    </x:border>
    <x:border>
      <x:top style="thin">
        <x:color rgb="FFECEFF3"/>
      </x:top>
      <x:bottom style="thin">
        <x:color rgb="FFECEFF3"/>
      </x:bottom>
    </x:border>
    <x:border>
      <x:top style="thin">
        <x:color rgb="FFECEFF3"/>
      </x:top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medium">
        <x:color rgb="FF17365D"/>
      </x:left>
      <x:right style="medium">
        <x:color rgb="FF17365D"/>
      </x:right>
      <x:top style="medium">
        <x:color rgb="FF17365D"/>
      </x:top>
      <x:bottom style="medium">
        <x:color rgb="FF17365D"/>
      </x:bottom>
    </x:border>
    <x:border>
      <x:left style="thin">
        <x:color rgb="FFD9DEE7"/>
      </x:left>
      <x:right style="thin">
        <x:color rgb="FFD9DEE7"/>
      </x:right>
      <x:top style="thin">
        <x:color rgb="FFD9DEE7"/>
      </x:top>
      <x:bottom style="thin">
        <x:color rgb="FFD9DEE7"/>
      </x:bottom>
    </x:border>
    <x:border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top style="thin">
        <x:color rgb="FFD9E2F3"/>
      </x:top>
    </x:border>
  </x:borders>
  <x:cellStyleXfs count="1">
    <x:xf numFmtId="0" fontId="0" fillId="0" borderId="0"/>
  </x:cellStyleXfs>
  <x:cellXfs count="425">
    <x:xf numFmtId="0" fontId="0" fillId="0" borderId="0" xfId="0"/>
    <x:xf numFmtId="0" fontId="0" fillId="2" borderId="0" xfId="0"/>
    <x:xf numFmtId="0" fontId="1" fillId="2" borderId="0" xfId="0"/>
    <x:xf numFmtId="0" fontId="1" fillId="2" borderId="0" xfId="0" applyAlignment="1">
      <x:alignment horizontal="center"/>
    </x:xf>
    <x:xf numFmtId="0" fontId="1" fillId="2" borderId="0" xfId="0" applyAlignment="1">
      <x:alignment horizontal="center" vertical="center"/>
    </x:xf>
    <x:xf numFmtId="0" fontId="2" fillId="0" borderId="0" xfId="0"/>
    <x:xf numFmtId="0" fontId="2" fillId="0" borderId="0" xfId="0" applyAlignment="1">
      <x:alignment horizontal="center"/>
    </x:xf>
    <x:xf numFmtId="0" fontId="0" fillId="3" borderId="0" xfId="0"/>
    <x:xf numFmtId="0" fontId="3" fillId="3" borderId="0" xfId="0"/>
    <x:xf numFmtId="0" fontId="3" fillId="3" borderId="1" xfId="0"/>
    <x:xf numFmtId="0" fontId="3" fillId="3" borderId="2" xfId="0"/>
    <x:xf numFmtId="0" fontId="3" fillId="3" borderId="3" xfId="0"/>
    <x:xf numFmtId="0" fontId="3" fillId="3" borderId="4" xfId="0"/>
    <x:xf numFmtId="0" fontId="3" fillId="3" borderId="5" xfId="0"/>
    <x:xf numFmtId="0" fontId="3" fillId="3" borderId="6" xfId="0"/>
    <x:xf numFmtId="0" fontId="3" fillId="3" borderId="7" xfId="0"/>
    <x:xf numFmtId="0" fontId="3" fillId="3" borderId="8" xfId="0"/>
    <x:xf numFmtId="0" fontId="3" fillId="3" borderId="1" xfId="0" applyAlignment="1">
      <x:alignment wrapText="1"/>
    </x:xf>
    <x:xf numFmtId="0" fontId="3" fillId="3" borderId="2" xfId="0" applyAlignment="1">
      <x:alignment wrapText="1"/>
    </x:xf>
    <x:xf numFmtId="0" fontId="3" fillId="3" borderId="3" xfId="0" applyAlignment="1">
      <x:alignment wrapText="1"/>
    </x:xf>
    <x:xf numFmtId="0" fontId="3" fillId="3" borderId="4" xfId="0" applyAlignment="1">
      <x:alignment wrapText="1"/>
    </x:xf>
    <x:xf numFmtId="0" fontId="3" fillId="3" borderId="0" xfId="0" applyAlignment="1">
      <x:alignment wrapText="1"/>
    </x:xf>
    <x:xf numFmtId="0" fontId="3" fillId="3" borderId="5" xfId="0" applyAlignment="1">
      <x:alignment wrapText="1"/>
    </x:xf>
    <x:xf numFmtId="0" fontId="3" fillId="3" borderId="6" xfId="0" applyAlignment="1">
      <x:alignment wrapText="1"/>
    </x:xf>
    <x:xf numFmtId="0" fontId="3" fillId="3" borderId="7" xfId="0" applyAlignment="1">
      <x:alignment wrapText="1"/>
    </x:xf>
    <x:xf numFmtId="0" fontId="3" fillId="3" borderId="8" xfId="0" applyAlignment="1">
      <x:alignment wrapText="1"/>
    </x:xf>
    <x:xf numFmtId="0" fontId="3" fillId="3" borderId="1" xfId="0" applyAlignment="1">
      <x:alignment horizontal="center" wrapText="1"/>
    </x:xf>
    <x:xf numFmtId="0" fontId="3" fillId="3" borderId="2" xfId="0" applyAlignment="1">
      <x:alignment horizontal="center" wrapText="1"/>
    </x:xf>
    <x:xf numFmtId="0" fontId="3" fillId="3" borderId="3" xfId="0" applyAlignment="1">
      <x:alignment horizontal="center" wrapText="1"/>
    </x:xf>
    <x:xf numFmtId="0" fontId="3" fillId="3" borderId="4" xfId="0" applyAlignment="1">
      <x:alignment horizontal="center" wrapText="1"/>
    </x:xf>
    <x:xf numFmtId="0" fontId="3" fillId="3" borderId="0" xfId="0" applyAlignment="1">
      <x:alignment horizontal="center" wrapText="1"/>
    </x:xf>
    <x:xf numFmtId="0" fontId="3" fillId="3" borderId="5" xfId="0" applyAlignment="1">
      <x:alignment horizontal="center" wrapText="1"/>
    </x:xf>
    <x:xf numFmtId="0" fontId="3" fillId="3" borderId="6" xfId="0" applyAlignment="1">
      <x:alignment horizontal="center" wrapText="1"/>
    </x:xf>
    <x:xf numFmtId="0" fontId="3" fillId="3" borderId="7" xfId="0" applyAlignment="1">
      <x:alignment horizontal="center" wrapText="1"/>
    </x:xf>
    <x:xf numFmtId="0" fontId="3" fillId="3" borderId="8" xfId="0" applyAlignment="1">
      <x:alignment horizontal="center" wrapText="1"/>
    </x:xf>
    <x:xf numFmtId="0" fontId="3" fillId="3" borderId="1" xfId="0" applyAlignment="1">
      <x:alignment horizontal="center" vertical="center" wrapText="1"/>
    </x:xf>
    <x:xf numFmtId="0" fontId="3" fillId="3" borderId="2" xfId="0" applyAlignment="1">
      <x:alignment horizontal="center" vertical="center" wrapText="1"/>
    </x:xf>
    <x:xf numFmtId="0" fontId="3" fillId="3" borderId="3" xfId="0" applyAlignment="1">
      <x:alignment horizontal="center" vertical="center" wrapText="1"/>
    </x:xf>
    <x:xf numFmtId="0" fontId="3" fillId="3" borderId="4" xfId="0" applyAlignment="1">
      <x:alignment horizontal="center" vertical="center" wrapText="1"/>
    </x:xf>
    <x:xf numFmtId="0" fontId="3" fillId="3" borderId="0" xfId="0" applyAlignment="1">
      <x:alignment horizontal="center" vertical="center" wrapText="1"/>
    </x:xf>
    <x:xf numFmtId="0" fontId="3" fillId="3" borderId="5" xfId="0" applyAlignment="1">
      <x:alignment horizontal="center" vertical="center" wrapText="1"/>
    </x:xf>
    <x:xf numFmtId="0" fontId="3" fillId="3" borderId="6" xfId="0" applyAlignment="1">
      <x:alignment horizontal="center" vertical="center" wrapText="1"/>
    </x:xf>
    <x:xf numFmtId="0" fontId="3" fillId="3" borderId="7" xfId="0" applyAlignment="1">
      <x:alignment horizontal="center" vertical="center" wrapText="1"/>
    </x:xf>
    <x:xf numFmtId="0" fontId="3" fillId="3" borderId="8" xfId="0" applyAlignment="1">
      <x:alignment horizontal="center" vertical="center" wrapText="1"/>
    </x:xf>
    <x:xf numFmtId="0" fontId="4" fillId="0" borderId="0" xfId="0"/>
    <x:xf numFmtId="0" fontId="4" fillId="0" borderId="0" xfId="0" applyAlignment="1">
      <x:alignment horizontal="center"/>
    </x:xf>
    <x:xf numFmtId="0" fontId="0" fillId="4" borderId="0" xfId="0"/>
    <x:xf numFmtId="0" fontId="5" fillId="4" borderId="0" xfId="0"/>
    <x:xf numFmtId="0" fontId="5" fillId="4" borderId="0" xfId="0" applyAlignment="1">
      <x:alignment wrapText="1"/>
    </x:xf>
    <x:xf numFmtId="0" fontId="5" fillId="4" borderId="0" xfId="0" applyAlignment="1">
      <x:alignment horizontal="center" wrapText="1"/>
    </x:xf>
    <x:xf numFmtId="0" fontId="5" fillId="4" borderId="0" xfId="0" applyAlignment="1">
      <x:alignment horizontal="center" vertical="center" wrapText="1"/>
    </x:xf>
    <x:xf numFmtId="0" fontId="6" fillId="2" borderId="0" xfId="0"/>
    <x:xf numFmtId="0" fontId="6" fillId="2" borderId="0" xfId="0" applyAlignment="1">
      <x:alignment vertical="center"/>
    </x:xf>
    <x:xf numFmtId="0" fontId="7" fillId="3" borderId="0" xfId="0"/>
    <x:xf numFmtId="0" fontId="7" fillId="3" borderId="0" xfId="0" applyAlignment="1">
      <x:alignment wrapText="1"/>
    </x:xf>
    <x:xf numFmtId="0" fontId="7" fillId="3" borderId="0" xfId="0" applyAlignment="1">
      <x:alignment vertical="center" wrapText="1"/>
    </x:xf>
    <x:xf numFmtId="0" fontId="0" fillId="5" borderId="0" xfId="0"/>
    <x:xf numFmtId="0" fontId="8" fillId="5" borderId="0" xfId="0"/>
    <x:xf numFmtId="0" fontId="8" fillId="5" borderId="9" xfId="0"/>
    <x:xf numFmtId="0" fontId="8" fillId="5" borderId="10" xfId="0"/>
    <x:xf numFmtId="0" fontId="8" fillId="5" borderId="11" xfId="0"/>
    <x:xf numFmtId="0" fontId="8" fillId="5" borderId="9" xfId="0" applyAlignment="1">
      <x:alignment wrapText="1"/>
    </x:xf>
    <x:xf numFmtId="0" fontId="8" fillId="5" borderId="10" xfId="0" applyAlignment="1">
      <x:alignment wrapText="1"/>
    </x:xf>
    <x:xf numFmtId="0" fontId="8" fillId="5" borderId="11" xfId="0" applyAlignment="1">
      <x:alignment wrapText="1"/>
    </x:xf>
    <x:xf numFmtId="0" fontId="8" fillId="5" borderId="9" xfId="0" applyAlignment="1">
      <x:alignment vertical="center" wrapText="1"/>
    </x:xf>
    <x:xf numFmtId="0" fontId="8" fillId="5" borderId="10" xfId="0" applyAlignment="1">
      <x:alignment vertical="center" wrapText="1"/>
    </x:xf>
    <x:xf numFmtId="0" fontId="8" fillId="5" borderId="11" xfId="0" applyAlignment="1">
      <x:alignment vertical="center" wrapText="1"/>
    </x:xf>
    <x:xf numFmtId="0" fontId="0" fillId="0" borderId="12" xfId="0"/>
    <x:xf numFmtId="0" fontId="0" fillId="0" borderId="13" xfId="0"/>
    <x:xf numFmtId="0" fontId="0" fillId="0" borderId="14" xfId="0"/>
    <x:xf numFmtId="0" fontId="0" fillId="0" borderId="12" xfId="0" applyAlignment="1">
      <x:alignment wrapText="1"/>
    </x:xf>
    <x:xf numFmtId="0" fontId="0" fillId="0" borderId="13" xfId="0" applyAlignment="1">
      <x:alignment wrapText="1"/>
    </x:xf>
    <x:xf numFmtId="0" fontId="0" fillId="0" borderId="14" xfId="0" applyAlignment="1">
      <x:alignment wrapText="1"/>
    </x:xf>
    <x:xf numFmtId="0" fontId="0" fillId="0" borderId="12" xfId="0" applyAlignment="1">
      <x:alignment vertical="center" wrapText="1"/>
    </x:xf>
    <x:xf numFmtId="0" fontId="0" fillId="0" borderId="13" xfId="0" applyAlignment="1">
      <x:alignment vertical="center" wrapText="1"/>
    </x:xf>
    <x:xf numFmtId="0" fontId="0" fillId="0" borderId="14" xfId="0" applyAlignment="1">
      <x:alignment vertical="center" wrapText="1"/>
    </x:xf>
    <x:xf numFmtId="0" fontId="5" fillId="4" borderId="15" xfId="0"/>
    <x:xf numFmtId="0" fontId="5" fillId="4" borderId="16" xfId="0"/>
    <x:xf numFmtId="0" fontId="5" fillId="4" borderId="17" xfId="0"/>
    <x:xf numFmtId="0" fontId="0" fillId="6" borderId="0" xfId="0"/>
    <x:xf numFmtId="0" fontId="9" fillId="6" borderId="0" xfId="0"/>
    <x:xf numFmtId="0" fontId="9" fillId="6" borderId="0" xfId="0" applyAlignment="1">
      <x:alignment wrapText="1"/>
    </x:xf>
    <x:xf numFmtId="0" fontId="9" fillId="6" borderId="0" xfId="0" applyAlignment="1">
      <x:alignment vertical="center" wrapText="1"/>
    </x:xf>
    <x:xf numFmtId="0" fontId="0" fillId="7" borderId="0" xfId="0"/>
    <x:xf numFmtId="0" fontId="10" fillId="7" borderId="0" xfId="0"/>
    <x:xf numFmtId="0" fontId="10" fillId="7" borderId="18" xfId="0"/>
    <x:xf numFmtId="0" fontId="10" fillId="7" borderId="14" xfId="0"/>
    <x:xf numFmtId="0" fontId="10" fillId="7" borderId="19" xfId="0"/>
    <x:xf numFmtId="0" fontId="10" fillId="7" borderId="20" xfId="0"/>
    <x:xf numFmtId="0" fontId="10" fillId="7" borderId="21" xfId="0"/>
    <x:xf numFmtId="0" fontId="10" fillId="7" borderId="22" xfId="0"/>
    <x:xf numFmtId="0" fontId="10" fillId="7" borderId="12" xfId="0"/>
    <x:xf numFmtId="0" fontId="10" fillId="7" borderId="23" xfId="0"/>
    <x:xf numFmtId="0" fontId="10" fillId="7" borderId="18" xfId="0" applyAlignment="1">
      <x:alignment wrapText="1"/>
    </x:xf>
    <x:xf numFmtId="0" fontId="10" fillId="7" borderId="14" xfId="0" applyAlignment="1">
      <x:alignment wrapText="1"/>
    </x:xf>
    <x:xf numFmtId="0" fontId="10" fillId="7" borderId="19" xfId="0" applyAlignment="1">
      <x:alignment wrapText="1"/>
    </x:xf>
    <x:xf numFmtId="0" fontId="10" fillId="7" borderId="20" xfId="0" applyAlignment="1">
      <x:alignment wrapText="1"/>
    </x:xf>
    <x:xf numFmtId="0" fontId="10" fillId="7" borderId="0" xfId="0" applyAlignment="1">
      <x:alignment wrapText="1"/>
    </x:xf>
    <x:xf numFmtId="0" fontId="10" fillId="7" borderId="21" xfId="0" applyAlignment="1">
      <x:alignment wrapText="1"/>
    </x:xf>
    <x:xf numFmtId="0" fontId="10" fillId="7" borderId="22" xfId="0" applyAlignment="1">
      <x:alignment wrapText="1"/>
    </x:xf>
    <x:xf numFmtId="0" fontId="10" fillId="7" borderId="12" xfId="0" applyAlignment="1">
      <x:alignment wrapText="1"/>
    </x:xf>
    <x:xf numFmtId="0" fontId="10" fillId="7" borderId="23" xfId="0" applyAlignment="1">
      <x:alignment wrapText="1"/>
    </x:xf>
    <x:xf numFmtId="0" fontId="11" fillId="0" borderId="12" xfId="0" applyAlignment="1">
      <x:alignment vertical="center" wrapText="1"/>
    </x:xf>
    <x:xf numFmtId="0" fontId="11" fillId="0" borderId="13" xfId="0" applyAlignment="1">
      <x:alignment vertical="center" wrapText="1"/>
    </x:xf>
    <x:xf numFmtId="164" fontId="0" fillId="0" borderId="12" xfId="0"/>
    <x:xf numFmtId="164" fontId="0" fillId="0" borderId="13" xfId="0"/>
    <x:xf numFmtId="164" fontId="0" fillId="0" borderId="14" xfId="0"/>
    <x:xf numFmtId="0" fontId="12" fillId="0" borderId="0" xfId="0"/>
    <x:xf numFmtId="0" fontId="12" fillId="0" borderId="12" xfId="0"/>
    <x:xf numFmtId="0" fontId="12" fillId="0" borderId="13" xfId="0"/>
    <x:xf numFmtId="0" fontId="12" fillId="0" borderId="14" xfId="0"/>
    <x:xf numFmtId="10" fontId="12" fillId="0" borderId="13" xfId="0"/>
    <x:xf numFmtId="3" fontId="12" fillId="0" borderId="13" xfId="0"/>
    <x:xf numFmtId="10" fontId="12" fillId="0" borderId="0" xfId="0"/>
    <x:xf numFmtId="10" fontId="12" fillId="0" borderId="12" xfId="0"/>
    <x:xf numFmtId="10" fontId="12" fillId="0" borderId="14" xfId="0"/>
    <x:xf numFmtId="10" fontId="0" fillId="0" borderId="0" xfId="0"/>
    <x:xf numFmtId="165" fontId="0" fillId="0" borderId="0" xfId="0"/>
    <x:xf numFmtId="166" fontId="0" fillId="0" borderId="0" xfId="0"/>
    <x:xf numFmtId="0" fontId="13" fillId="0" borderId="0" xfId="0"/>
    <x:xf numFmtId="10" fontId="13" fillId="0" borderId="0" xfId="0"/>
    <x:xf numFmtId="165" fontId="13" fillId="0" borderId="0" xfId="0"/>
    <x:xf numFmtId="166" fontId="13" fillId="0" borderId="0" xfId="0"/>
    <x:xf numFmtId="0" fontId="13" fillId="0" borderId="24" xfId="0"/>
    <x:xf numFmtId="10" fontId="13" fillId="0" borderId="24" xfId="0"/>
    <x:xf numFmtId="165" fontId="13" fillId="0" borderId="24" xfId="0"/>
    <x:xf numFmtId="166" fontId="13" fillId="0" borderId="24" xfId="0"/>
    <x:xf numFmtId="0" fontId="13" fillId="0" borderId="25" xfId="0"/>
    <x:xf numFmtId="10" fontId="13" fillId="0" borderId="25" xfId="0"/>
    <x:xf numFmtId="165" fontId="13" fillId="0" borderId="25" xfId="0"/>
    <x:xf numFmtId="166" fontId="13" fillId="0" borderId="25" xfId="0"/>
    <x:xf numFmtId="0" fontId="13" fillId="0" borderId="26" xfId="0"/>
    <x:xf numFmtId="10" fontId="13" fillId="0" borderId="26" xfId="0"/>
    <x:xf numFmtId="165" fontId="13" fillId="0" borderId="26" xfId="0"/>
    <x:xf numFmtId="166" fontId="13" fillId="0" borderId="26" xfId="0"/>
    <x:xf numFmtId="0" fontId="13" fillId="8" borderId="24" xfId="0"/>
    <x:xf numFmtId="10" fontId="13" fillId="8" borderId="24" xfId="0"/>
    <x:xf numFmtId="0" fontId="13" fillId="8" borderId="25" xfId="0"/>
    <x:xf numFmtId="10" fontId="13" fillId="8" borderId="25" xfId="0"/>
    <x:xf numFmtId="0" fontId="13" fillId="8" borderId="26" xfId="0"/>
    <x:xf numFmtId="10" fontId="13" fillId="8" borderId="26" xfId="0"/>
    <x:xf numFmtId="165" fontId="14" fillId="0" borderId="24" xfId="0"/>
    <x:xf numFmtId="165" fontId="14" fillId="0" borderId="25" xfId="0"/>
    <x:xf numFmtId="165" fontId="14" fillId="0" borderId="26" xfId="0"/>
    <x:xf numFmtId="167" fontId="0" fillId="0" borderId="0" xfId="0"/>
    <x:xf numFmtId="10" fontId="0" fillId="0" borderId="12" xfId="0"/>
    <x:xf numFmtId="167" fontId="0" fillId="0" borderId="12" xfId="0"/>
    <x:xf numFmtId="10" fontId="0" fillId="0" borderId="13" xfId="0"/>
    <x:xf numFmtId="167" fontId="0" fillId="0" borderId="13" xfId="0"/>
    <x:xf numFmtId="10" fontId="0" fillId="0" borderId="14" xfId="0"/>
    <x:xf numFmtId="167" fontId="0" fillId="0" borderId="14" xfId="0"/>
    <x:xf numFmtId="0" fontId="0" fillId="7" borderId="0" xfId="0" applyAlignment="1">
      <x:alignment wrapText="1"/>
    </x:xf>
    <x:xf numFmtId="0" fontId="0" fillId="7" borderId="0" xfId="0" applyAlignment="1">
      <x:alignment vertical="center" wrapText="1"/>
    </x:xf>
    <x:xf numFmtId="1" fontId="0" fillId="0" borderId="0" xfId="0"/>
    <x:xf numFmtId="165" fontId="12" fillId="0" borderId="0" xfId="0"/>
    <x:xf numFmtId="1" fontId="12" fillId="0" borderId="0" xfId="0"/>
    <x:xf numFmtId="165" fontId="15" fillId="0" borderId="0" xfId="0"/>
    <x:xf numFmtId="10" fontId="15" fillId="0" borderId="0" xfId="0"/>
    <x:xf numFmtId="165" fontId="15" fillId="0" borderId="12" xfId="0"/>
    <x:xf numFmtId="10" fontId="15" fillId="0" borderId="13" xfId="0"/>
    <x:xf numFmtId="165" fontId="15" fillId="0" borderId="13" xfId="0"/>
    <x:xf numFmtId="1" fontId="12" fillId="0" borderId="13" xfId="0"/>
    <x:xf numFmtId="165" fontId="15" fillId="0" borderId="12" xfId="0" applyAlignment="1">
      <x:alignment wrapText="1"/>
    </x:xf>
    <x:xf numFmtId="10" fontId="15" fillId="0" borderId="13" xfId="0" applyAlignment="1">
      <x:alignment wrapText="1"/>
    </x:xf>
    <x:xf numFmtId="165" fontId="15" fillId="0" borderId="13" xfId="0" applyAlignment="1">
      <x:alignment wrapText="1"/>
    </x:xf>
    <x:xf numFmtId="1" fontId="12" fillId="0" borderId="13" xfId="0" applyAlignment="1">
      <x:alignment wrapText="1"/>
    </x:xf>
    <x:xf numFmtId="10" fontId="12" fillId="0" borderId="13" xfId="0" applyAlignment="1">
      <x:alignment wrapText="1"/>
    </x:xf>
    <x:xf numFmtId="10" fontId="12" fillId="0" borderId="14" xfId="0" applyAlignment="1">
      <x:alignment wrapText="1"/>
    </x:xf>
    <x:xf numFmtId="165" fontId="15" fillId="0" borderId="12" xfId="0" applyAlignment="1">
      <x:alignment vertical="center" wrapText="1"/>
    </x:xf>
    <x:xf numFmtId="10" fontId="15" fillId="0" borderId="13" xfId="0" applyAlignment="1">
      <x:alignment vertical="center" wrapText="1"/>
    </x:xf>
    <x:xf numFmtId="165" fontId="15" fillId="0" borderId="13" xfId="0" applyAlignment="1">
      <x:alignment vertical="center" wrapText="1"/>
    </x:xf>
    <x:xf numFmtId="1" fontId="12" fillId="0" borderId="13" xfId="0" applyAlignment="1">
      <x:alignment vertical="center" wrapText="1"/>
    </x:xf>
    <x:xf numFmtId="10" fontId="12" fillId="0" borderId="13" xfId="0" applyAlignment="1">
      <x:alignment vertical="center" wrapText="1"/>
    </x:xf>
    <x:xf numFmtId="10" fontId="12" fillId="0" borderId="14" xfId="0" applyAlignment="1">
      <x:alignment vertical="center" wrapText="1"/>
    </x:xf>
    <x:xf numFmtId="0" fontId="15" fillId="0" borderId="0" xfId="0"/>
    <x:xf numFmtId="0" fontId="15" fillId="0" borderId="12" xfId="0"/>
    <x:xf numFmtId="0" fontId="15" fillId="0" borderId="13" xfId="0"/>
    <x:xf numFmtId="0" fontId="15" fillId="0" borderId="14" xfId="0"/>
    <x:xf numFmtId="165" fontId="15" fillId="0" borderId="14" xfId="0"/>
    <x:xf numFmtId="165" fontId="0" fillId="0" borderId="12" xfId="0"/>
    <x:xf numFmtId="165" fontId="0" fillId="0" borderId="13" xfId="0"/>
    <x:xf numFmtId="165" fontId="0" fillId="0" borderId="14" xfId="0"/>
    <x:xf numFmtId="166" fontId="0" fillId="0" borderId="12" xfId="0"/>
    <x:xf numFmtId="166" fontId="0" fillId="0" borderId="13" xfId="0"/>
    <x:xf numFmtId="166" fontId="0" fillId="0" borderId="14" xfId="0"/>
    <x:xf numFmtId="168" fontId="0" fillId="0" borderId="12" xfId="0"/>
    <x:xf numFmtId="168" fontId="0" fillId="0" borderId="13" xfId="0"/>
    <x:xf numFmtId="168" fontId="0" fillId="0" borderId="14" xfId="0"/>
    <x:xf numFmtId="0" fontId="8" fillId="5" borderId="0" xfId="0" applyAlignment="1">
      <x:alignment horizontal="center"/>
    </x:xf>
    <x:xf numFmtId="0" fontId="16" fillId="7" borderId="0" xfId="0"/>
    <x:xf numFmtId="0" fontId="16" fillId="7" borderId="1" xfId="0"/>
    <x:xf numFmtId="0" fontId="16" fillId="7" borderId="2" xfId="0"/>
    <x:xf numFmtId="0" fontId="16" fillId="7" borderId="3" xfId="0"/>
    <x:xf numFmtId="0" fontId="16" fillId="7" borderId="4" xfId="0"/>
    <x:xf numFmtId="0" fontId="16" fillId="7" borderId="5" xfId="0"/>
    <x:xf numFmtId="0" fontId="16" fillId="7" borderId="6" xfId="0"/>
    <x:xf numFmtId="0" fontId="16" fillId="7" borderId="7" xfId="0"/>
    <x:xf numFmtId="0" fontId="16" fillId="7" borderId="8" xfId="0"/>
    <x:xf numFmtId="169" fontId="16" fillId="7" borderId="1" xfId="0"/>
    <x:xf numFmtId="169" fontId="16" fillId="7" borderId="2" xfId="0"/>
    <x:xf numFmtId="169" fontId="16" fillId="7" borderId="3" xfId="0"/>
    <x:xf numFmtId="169" fontId="16" fillId="7" borderId="4" xfId="0"/>
    <x:xf numFmtId="169" fontId="16" fillId="7" borderId="0" xfId="0"/>
    <x:xf numFmtId="169" fontId="16" fillId="7" borderId="5" xfId="0"/>
    <x:xf numFmtId="169" fontId="16" fillId="7" borderId="6" xfId="0"/>
    <x:xf numFmtId="169" fontId="16" fillId="7" borderId="7" xfId="0"/>
    <x:xf numFmtId="169" fontId="16" fillId="7" borderId="8" xfId="0"/>
    <x:xf numFmtId="169" fontId="16" fillId="7" borderId="1" xfId="0" applyAlignment="1">
      <x:alignment horizontal="center"/>
    </x:xf>
    <x:xf numFmtId="169" fontId="16" fillId="7" borderId="2" xfId="0" applyAlignment="1">
      <x:alignment horizontal="center"/>
    </x:xf>
    <x:xf numFmtId="169" fontId="16" fillId="7" borderId="3" xfId="0" applyAlignment="1">
      <x:alignment horizontal="center"/>
    </x:xf>
    <x:xf numFmtId="169" fontId="16" fillId="7" borderId="4" xfId="0" applyAlignment="1">
      <x:alignment horizontal="center"/>
    </x:xf>
    <x:xf numFmtId="169" fontId="16" fillId="7" borderId="0" xfId="0" applyAlignment="1">
      <x:alignment horizontal="center"/>
    </x:xf>
    <x:xf numFmtId="169" fontId="16" fillId="7" borderId="5" xfId="0" applyAlignment="1">
      <x:alignment horizontal="center"/>
    </x:xf>
    <x:xf numFmtId="169" fontId="16" fillId="7" borderId="6" xfId="0" applyAlignment="1">
      <x:alignment horizontal="center"/>
    </x:xf>
    <x:xf numFmtId="169" fontId="16" fillId="7" borderId="7" xfId="0" applyAlignment="1">
      <x:alignment horizontal="center"/>
    </x:xf>
    <x:xf numFmtId="169" fontId="16" fillId="7" borderId="8" xfId="0" applyAlignment="1">
      <x:alignment horizontal="center"/>
    </x:xf>
    <x:xf numFmtId="169" fontId="16" fillId="7" borderId="1" xfId="0" applyAlignment="1">
      <x:alignment horizontal="center" vertical="center"/>
    </x:xf>
    <x:xf numFmtId="169" fontId="16" fillId="7" borderId="2" xfId="0" applyAlignment="1">
      <x:alignment horizontal="center" vertical="center"/>
    </x:xf>
    <x:xf numFmtId="169" fontId="16" fillId="7" borderId="3" xfId="0" applyAlignment="1">
      <x:alignment horizontal="center" vertical="center"/>
    </x:xf>
    <x:xf numFmtId="169" fontId="16" fillId="7" borderId="4" xfId="0" applyAlignment="1">
      <x:alignment horizontal="center" vertical="center"/>
    </x:xf>
    <x:xf numFmtId="169" fontId="16" fillId="7" borderId="0" xfId="0" applyAlignment="1">
      <x:alignment horizontal="center" vertical="center"/>
    </x:xf>
    <x:xf numFmtId="169" fontId="16" fillId="7" borderId="5" xfId="0" applyAlignment="1">
      <x:alignment horizontal="center" vertical="center"/>
    </x:xf>
    <x:xf numFmtId="169" fontId="16" fillId="7" borderId="6" xfId="0" applyAlignment="1">
      <x:alignment horizontal="center" vertical="center"/>
    </x:xf>
    <x:xf numFmtId="169" fontId="16" fillId="7" borderId="7" xfId="0" applyAlignment="1">
      <x:alignment horizontal="center" vertical="center"/>
    </x:xf>
    <x:xf numFmtId="169" fontId="16" fillId="7" borderId="8" xfId="0" applyAlignment="1">
      <x:alignment horizontal="center" vertical="center"/>
    </x:xf>
    <x:xf numFmtId="168" fontId="16" fillId="7" borderId="1" xfId="0"/>
    <x:xf numFmtId="168" fontId="16" fillId="7" borderId="2" xfId="0"/>
    <x:xf numFmtId="168" fontId="16" fillId="7" borderId="3" xfId="0"/>
    <x:xf numFmtId="168" fontId="16" fillId="7" borderId="4" xfId="0"/>
    <x:xf numFmtId="168" fontId="16" fillId="7" borderId="0" xfId="0"/>
    <x:xf numFmtId="168" fontId="16" fillId="7" borderId="5" xfId="0"/>
    <x:xf numFmtId="168" fontId="16" fillId="7" borderId="6" xfId="0"/>
    <x:xf numFmtId="168" fontId="16" fillId="7" borderId="7" xfId="0"/>
    <x:xf numFmtId="168" fontId="16" fillId="7" borderId="8" xfId="0"/>
    <x:xf numFmtId="168" fontId="16" fillId="7" borderId="1" xfId="0" applyAlignment="1">
      <x:alignment horizontal="center"/>
    </x:xf>
    <x:xf numFmtId="168" fontId="16" fillId="7" borderId="2" xfId="0" applyAlignment="1">
      <x:alignment horizontal="center"/>
    </x:xf>
    <x:xf numFmtId="168" fontId="16" fillId="7" borderId="3" xfId="0" applyAlignment="1">
      <x:alignment horizontal="center"/>
    </x:xf>
    <x:xf numFmtId="168" fontId="16" fillId="7" borderId="4" xfId="0" applyAlignment="1">
      <x:alignment horizontal="center"/>
    </x:xf>
    <x:xf numFmtId="168" fontId="16" fillId="7" borderId="0" xfId="0" applyAlignment="1">
      <x:alignment horizontal="center"/>
    </x:xf>
    <x:xf numFmtId="168" fontId="16" fillId="7" borderId="5" xfId="0" applyAlignment="1">
      <x:alignment horizontal="center"/>
    </x:xf>
    <x:xf numFmtId="168" fontId="16" fillId="7" borderId="6" xfId="0" applyAlignment="1">
      <x:alignment horizontal="center"/>
    </x:xf>
    <x:xf numFmtId="168" fontId="16" fillId="7" borderId="7" xfId="0" applyAlignment="1">
      <x:alignment horizontal="center"/>
    </x:xf>
    <x:xf numFmtId="168" fontId="16" fillId="7" borderId="8" xfId="0" applyAlignment="1">
      <x:alignment horizontal="center"/>
    </x:xf>
    <x:xf numFmtId="168" fontId="16" fillId="7" borderId="1" xfId="0" applyAlignment="1">
      <x:alignment horizontal="center" vertical="center"/>
    </x:xf>
    <x:xf numFmtId="168" fontId="16" fillId="7" borderId="2" xfId="0" applyAlignment="1">
      <x:alignment horizontal="center" vertical="center"/>
    </x:xf>
    <x:xf numFmtId="168" fontId="16" fillId="7" borderId="3" xfId="0" applyAlignment="1">
      <x:alignment horizontal="center" vertical="center"/>
    </x:xf>
    <x:xf numFmtId="168" fontId="16" fillId="7" borderId="4" xfId="0" applyAlignment="1">
      <x:alignment horizontal="center" vertical="center"/>
    </x:xf>
    <x:xf numFmtId="168" fontId="16" fillId="7" borderId="0" xfId="0" applyAlignment="1">
      <x:alignment horizontal="center" vertical="center"/>
    </x:xf>
    <x:xf numFmtId="168" fontId="16" fillId="7" borderId="5" xfId="0" applyAlignment="1">
      <x:alignment horizontal="center" vertical="center"/>
    </x:xf>
    <x:xf numFmtId="168" fontId="16" fillId="7" borderId="6" xfId="0" applyAlignment="1">
      <x:alignment horizontal="center" vertical="center"/>
    </x:xf>
    <x:xf numFmtId="168" fontId="16" fillId="7" borderId="7" xfId="0" applyAlignment="1">
      <x:alignment horizontal="center" vertical="center"/>
    </x:xf>
    <x:xf numFmtId="168" fontId="16" fillId="7" borderId="8" xfId="0" applyAlignment="1">
      <x:alignment horizontal="center" vertical="center"/>
    </x:xf>
    <x:xf numFmtId="0" fontId="0" fillId="9" borderId="0" xfId="0"/>
    <x:xf numFmtId="0" fontId="17" fillId="9" borderId="0" xfId="0"/>
    <x:xf numFmtId="0" fontId="0" fillId="10" borderId="0" xfId="0"/>
    <x:xf numFmtId="0" fontId="7" fillId="10" borderId="0" xfId="0"/>
    <x:xf numFmtId="0" fontId="7" fillId="10" borderId="0" xfId="0" applyAlignment="1">
      <x:alignment wrapText="1"/>
    </x:xf>
    <x:xf numFmtId="0" fontId="0" fillId="11" borderId="0" xfId="0"/>
    <x:xf numFmtId="0" fontId="8" fillId="11" borderId="0" xfId="0"/>
    <x:xf numFmtId="0" fontId="8" fillId="11" borderId="0" xfId="0" applyAlignment="1">
      <x:alignment wrapText="1"/>
    </x:xf>
    <x:xf numFmtId="0" fontId="0" fillId="0" borderId="27" xfId="0"/>
    <x:xf numFmtId="0" fontId="0" fillId="0" borderId="27" xfId="0" applyAlignment="1">
      <x:alignment wrapText="1"/>
    </x:xf>
    <x:xf numFmtId="0" fontId="0" fillId="0" borderId="27" xfId="0" applyAlignment="1">
      <x:alignment vertical="top" wrapText="1"/>
    </x:xf>
    <x:xf numFmtId="0" fontId="0" fillId="12" borderId="27" xfId="0" applyAlignment="1">
      <x:alignment vertical="top" wrapText="1"/>
    </x:xf>
    <x:xf numFmtId="0" fontId="18" fillId="12" borderId="27" xfId="0" applyAlignment="1">
      <x:alignment vertical="top" wrapText="1"/>
    </x:xf>
    <x:xf numFmtId="0" fontId="0" fillId="13" borderId="27" xfId="0" applyAlignment="1">
      <x:alignment vertical="top" wrapText="1"/>
    </x:xf>
    <x:xf numFmtId="0" fontId="19" fillId="13" borderId="27" xfId="0" applyAlignment="1">
      <x:alignment vertical="top" wrapText="1"/>
    </x:xf>
    <x:xf numFmtId="10" fontId="18" fillId="12" borderId="27" xfId="0" applyAlignment="1">
      <x:alignment vertical="top" wrapText="1"/>
    </x:xf>
    <x:xf numFmtId="1" fontId="18" fillId="12" borderId="27" xfId="0" applyAlignment="1">
      <x:alignment vertical="top" wrapText="1"/>
    </x:xf>
    <x:xf numFmtId="10" fontId="19" fillId="13" borderId="27" xfId="0" applyAlignment="1">
      <x:alignment vertical="top" wrapText="1"/>
    </x:xf>
    <x:xf numFmtId="2" fontId="0" fillId="0" borderId="27" xfId="0" applyAlignment="1">
      <x:alignment vertical="top" wrapText="1"/>
    </x:xf>
    <x:xf numFmtId="170" fontId="0" fillId="0" borderId="27" xfId="0" applyAlignment="1">
      <x:alignment vertical="top" wrapText="1"/>
    </x:xf>
    <x:xf numFmtId="1" fontId="19" fillId="13" borderId="27" xfId="0" applyAlignment="1">
      <x:alignment vertical="top" wrapText="1"/>
    </x:xf>
    <x:xf numFmtId="10" fontId="0" fillId="0" borderId="27" xfId="0" applyAlignment="1">
      <x:alignment vertical="top" wrapText="1"/>
    </x:xf>
    <x:xf numFmtId="3" fontId="0" fillId="12" borderId="27" xfId="0" applyAlignment="1">
      <x:alignment vertical="top" wrapText="1"/>
    </x:xf>
    <x:xf numFmtId="3" fontId="18" fillId="12" borderId="27" xfId="0" applyAlignment="1">
      <x:alignment vertical="top" wrapText="1"/>
    </x:xf>
    <x:xf numFmtId="0" fontId="3" fillId="3" borderId="28" xfId="0" applyAlignment="1">
      <x:alignment horizontal="center" vertical="center" wrapText="1"/>
    </x:xf>
    <x:xf numFmtId="0" fontId="0" fillId="0" borderId="2" xfId="0"/>
    <x:xf numFmtId="0" fontId="0" fillId="0" borderId="3" xfId="0"/>
    <x:xf numFmtId="0" fontId="0" fillId="0" borderId="4" xfId="0"/>
    <x:xf numFmtId="0" fontId="0" fillId="0" borderId="5" xfId="0"/>
    <x:xf numFmtId="0" fontId="0" fillId="0" borderId="6" xfId="0"/>
    <x:xf numFmtId="0" fontId="0" fillId="0" borderId="7" xfId="0"/>
    <x:xf numFmtId="0" fontId="0" fillId="0" borderId="8" xfId="0"/>
    <x:xf numFmtId="0" fontId="10" fillId="7" borderId="29" xfId="0" applyAlignment="1">
      <x:alignment wrapText="1"/>
    </x:xf>
    <x:xf numFmtId="0" fontId="0" fillId="0" borderId="19" xfId="0"/>
    <x:xf numFmtId="0" fontId="0" fillId="0" borderId="20" xfId="0"/>
    <x:xf numFmtId="0" fontId="0" fillId="0" borderId="21" xfId="0"/>
    <x:xf numFmtId="0" fontId="0" fillId="0" borderId="22" xfId="0"/>
    <x:xf numFmtId="0" fontId="0" fillId="0" borderId="23" xfId="0"/>
    <x:xf numFmtId="164" fontId="0" fillId="0" borderId="12" xfId="0"/>
    <x:xf numFmtId="164" fontId="0" fillId="0" borderId="13" xfId="0"/>
    <x:xf numFmtId="164" fontId="0" fillId="0" borderId="14" xfId="0"/>
    <x:xf numFmtId="3" fontId="12" fillId="0" borderId="13" xfId="0"/>
    <x:xf numFmtId="10" fontId="12" fillId="0" borderId="13" xfId="0"/>
    <x:xf numFmtId="10" fontId="12" fillId="0" borderId="12" xfId="0"/>
    <x:xf numFmtId="10" fontId="12" fillId="0" borderId="14" xfId="0"/>
    <x:xf numFmtId="10" fontId="13" fillId="8" borderId="24" xfId="0"/>
    <x:xf numFmtId="165" fontId="13" fillId="0" borderId="24" xfId="0"/>
    <x:xf numFmtId="165" fontId="14" fillId="0" borderId="24" xfId="0"/>
    <x:xf numFmtId="166" fontId="13" fillId="0" borderId="24" xfId="0"/>
    <x:xf numFmtId="10" fontId="13" fillId="8" borderId="25" xfId="0"/>
    <x:xf numFmtId="165" fontId="13" fillId="0" borderId="25" xfId="0"/>
    <x:xf numFmtId="165" fontId="14" fillId="0" borderId="25" xfId="0"/>
    <x:xf numFmtId="166" fontId="13" fillId="0" borderId="25" xfId="0"/>
    <x:xf numFmtId="10" fontId="13" fillId="8" borderId="26" xfId="0"/>
    <x:xf numFmtId="165" fontId="13" fillId="0" borderId="26" xfId="0"/>
    <x:xf numFmtId="165" fontId="14" fillId="0" borderId="26" xfId="0"/>
    <x:xf numFmtId="166" fontId="13" fillId="0" borderId="26" xfId="0"/>
    <x:xf numFmtId="10" fontId="0" fillId="0" borderId="12" xfId="0"/>
    <x:xf numFmtId="167" fontId="0" fillId="0" borderId="12" xfId="0"/>
    <x:xf numFmtId="10" fontId="0" fillId="0" borderId="13" xfId="0"/>
    <x:xf numFmtId="167" fontId="0" fillId="0" borderId="13" xfId="0"/>
    <x:xf numFmtId="10" fontId="0" fillId="0" borderId="14" xfId="0"/>
    <x:xf numFmtId="167" fontId="0" fillId="0" borderId="14" xfId="0"/>
    <x:xf numFmtId="165" fontId="15" fillId="0" borderId="12" xfId="0" applyAlignment="1">
      <x:alignment vertical="center" wrapText="1"/>
    </x:xf>
    <x:xf numFmtId="10" fontId="15" fillId="0" borderId="13" xfId="0" applyAlignment="1">
      <x:alignment vertical="center" wrapText="1"/>
    </x:xf>
    <x:xf numFmtId="165" fontId="15" fillId="0" borderId="13" xfId="0" applyAlignment="1">
      <x:alignment vertical="center" wrapText="1"/>
    </x:xf>
    <x:xf numFmtId="1" fontId="12" fillId="0" borderId="13" xfId="0" applyAlignment="1">
      <x:alignment vertical="center" wrapText="1"/>
    </x:xf>
    <x:xf numFmtId="10" fontId="12" fillId="0" borderId="13" xfId="0" applyAlignment="1">
      <x:alignment vertical="center" wrapText="1"/>
    </x:xf>
    <x:xf numFmtId="10" fontId="12" fillId="0" borderId="14" xfId="0" applyAlignment="1">
      <x:alignment vertical="center" wrapText="1"/>
    </x:xf>
    <x:xf numFmtId="165" fontId="15" fillId="0" borderId="12" xfId="0"/>
    <x:xf numFmtId="165" fontId="15" fillId="0" borderId="13" xfId="0"/>
    <x:xf numFmtId="165" fontId="15" fillId="0" borderId="14" xfId="0"/>
    <x:xf numFmtId="165" fontId="0" fillId="0" borderId="0" xfId="0"/>
    <x:xf numFmtId="165" fontId="0" fillId="0" borderId="12" xfId="0"/>
    <x:xf numFmtId="165" fontId="0" fillId="0" borderId="13" xfId="0"/>
    <x:xf numFmtId="165" fontId="0" fillId="0" borderId="14" xfId="0"/>
    <x:xf numFmtId="166" fontId="0" fillId="0" borderId="12" xfId="0"/>
    <x:xf numFmtId="166" fontId="0" fillId="0" borderId="13" xfId="0"/>
    <x:xf numFmtId="166" fontId="0" fillId="0" borderId="14" xfId="0"/>
    <x:xf numFmtId="168" fontId="0" fillId="0" borderId="12" xfId="0"/>
    <x:xf numFmtId="168" fontId="0" fillId="0" borderId="13" xfId="0"/>
    <x:xf numFmtId="168" fontId="0" fillId="0" borderId="14" xfId="0"/>
    <x:xf numFmtId="169" fontId="16" fillId="7" borderId="28" xfId="0" applyAlignment="1">
      <x:alignment horizontal="center" vertical="center"/>
    </x:xf>
    <x:xf numFmtId="168" fontId="16" fillId="7" borderId="28" xfId="0" applyAlignment="1">
      <x:alignment horizontal="center" vertical="center"/>
    </x:xf>
    <x:xf numFmtId="3" fontId="0" fillId="12" borderId="27" xfId="0" applyAlignment="1">
      <x:alignment vertical="top" wrapText="1"/>
    </x:xf>
    <x:xf numFmtId="10" fontId="18" fillId="12" borderId="27" xfId="0" applyAlignment="1">
      <x:alignment vertical="top" wrapText="1"/>
    </x:xf>
    <x:xf numFmtId="1" fontId="18" fillId="12" borderId="27" xfId="0" applyAlignment="1">
      <x:alignment vertical="top" wrapText="1"/>
    </x:xf>
    <x:xf numFmtId="3" fontId="18" fillId="12" borderId="27" xfId="0" applyAlignment="1">
      <x:alignment vertical="top" wrapText="1"/>
    </x:xf>
    <x:xf numFmtId="10" fontId="19" fillId="13" borderId="27" xfId="0" applyAlignment="1">
      <x:alignment vertical="top" wrapText="1"/>
    </x:xf>
    <x:xf numFmtId="2" fontId="0" fillId="0" borderId="27" xfId="0" applyAlignment="1">
      <x:alignment vertical="top" wrapText="1"/>
    </x:xf>
    <x:xf numFmtId="170" fontId="0" fillId="0" borderId="27" xfId="0" applyAlignment="1">
      <x:alignment vertical="top" wrapText="1"/>
    </x:xf>
    <x:xf numFmtId="1" fontId="19" fillId="13" borderId="27" xfId="0" applyAlignment="1">
      <x:alignment vertical="top" wrapText="1"/>
    </x:xf>
    <x:xf numFmtId="10" fontId="0" fillId="0" borderId="27" xfId="0" applyAlignment="1">
      <x:alignment vertical="top" wrapText="1"/>
    </x:xf>
    <x:xf numFmtId="0" fontId="0" fillId="14" borderId="14" xfId="0" applyNumberFormat="1" applyFont="1" applyFill="1" applyBorder="1"/>
    <x:xf numFmtId="0" fontId="0" fillId="14" borderId="19" xfId="0" applyNumberFormat="1" applyFont="1" applyFill="1" applyBorder="1"/>
    <x:xf numFmtId="0" fontId="8" fillId="14" borderId="14" xfId="0" applyNumberFormat="1" applyFont="1" applyFill="1" applyBorder="1"/>
    <x:xf numFmtId="0" fontId="8" fillId="14" borderId="19" xfId="0" applyNumberFormat="1" applyFont="1" applyFill="1" applyBorder="1"/>
    <x:xf numFmtId="0" fontId="8" fillId="14" borderId="14" xfId="0" applyNumberFormat="1" applyFont="1" applyFill="1" applyBorder="1" applyAlignment="1">
      <x:alignment wrapText="1"/>
    </x:xf>
    <x:xf numFmtId="0" fontId="8" fillId="14" borderId="19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horizontal="center"/>
    </x:xf>
    <x:xf numFmtId="0" fontId="0" fillId="0" borderId="21" xfId="0" applyNumberFormat="1" applyFont="1" applyFill="1" applyBorder="1" applyAlignment="1">
      <x:alignment horizontal="center"/>
    </x:xf>
    <x:xf numFmtId="0" fontId="0" fillId="0" borderId="12" xfId="0" applyNumberFormat="1" applyFont="1" applyFill="1" applyBorder="1" applyAlignment="1">
      <x:alignment horizontal="center"/>
    </x:xf>
    <x:xf numFmtId="0" fontId="0" fillId="0" borderId="23" xfId="0" applyNumberFormat="1" applyFont="1" applyFill="1" applyBorder="1" applyAlignment="1">
      <x:alignment horizontal="center"/>
    </x:xf>
    <x:xf numFmtId="168" fontId="0" fillId="0" borderId="0" xfId="0" applyNumberFormat="1" applyFont="1" applyFill="1" applyBorder="1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0" fillId="14" borderId="0" xfId="0" applyNumberFormat="1" applyFont="1" applyFill="1" applyBorder="1"/>
    <x:xf numFmtId="0" fontId="20" fillId="14" borderId="0" xfId="0" applyNumberFormat="1" applyFont="1" applyFill="1" applyBorder="1"/>
    <x:xf numFmtId="0" fontId="20" fillId="14" borderId="0" xfId="0" applyNumberFormat="1" applyFont="1" applyFill="1" applyBorder="1" applyAlignment="1">
      <x:alignment vertical="center"/>
    </x:xf>
    <x:xf numFmtId="0" fontId="0" fillId="15" borderId="0" xfId="0" applyNumberFormat="1" applyFont="1" applyFill="1" applyBorder="1"/>
    <x:xf numFmtId="0" fontId="21" fillId="15" borderId="0" xfId="0" applyNumberFormat="1" applyFont="1" applyFill="1" applyBorder="1"/>
    <x:xf numFmtId="0" fontId="21" fillId="15" borderId="0" xfId="0" applyNumberFormat="1" applyFont="1" applyFill="1" applyBorder="1" applyAlignment="1">
      <x:alignment wrapText="1"/>
    </x:xf>
    <x:xf numFmtId="0" fontId="8" fillId="14" borderId="0" xfId="0" applyNumberFormat="1" applyFont="1" applyFill="1" applyBorder="1"/>
    <x:xf numFmtId="0" fontId="8" fillId="14" borderId="9" xfId="0" applyNumberFormat="1" applyFont="1" applyFill="1" applyBorder="1"/>
    <x:xf numFmtId="0" fontId="8" fillId="14" borderId="10" xfId="0" applyNumberFormat="1" applyFont="1" applyFill="1" applyBorder="1"/>
    <x:xf numFmtId="0" fontId="8" fillId="14" borderId="11" xfId="0" applyNumberFormat="1" applyFont="1" applyFill="1" applyBorder="1"/>
    <x:xf numFmtId="0" fontId="8" fillId="14" borderId="9" xfId="0" applyNumberFormat="1" applyFont="1" applyFill="1" applyBorder="1" applyAlignment="1">
      <x:alignment wrapText="1"/>
    </x:xf>
    <x:xf numFmtId="0" fontId="8" fillId="14" borderId="10" xfId="0" applyNumberFormat="1" applyFont="1" applyFill="1" applyBorder="1" applyAlignment="1">
      <x:alignment wrapText="1"/>
    </x:xf>
    <x:xf numFmtId="0" fontId="8" fillId="14" borderId="11" xfId="0" applyNumberFormat="1" applyFont="1" applyFill="1" applyBorder="1" applyAlignment="1">
      <x:alignment wrapText="1"/>
    </x:xf>
    <x:xf numFmtId="0" fontId="8" fillId="14" borderId="9" xfId="0" applyNumberFormat="1" applyFont="1" applyFill="1" applyBorder="1" applyAlignment="1">
      <x:alignment vertical="center" wrapText="1"/>
    </x:xf>
    <x:xf numFmtId="0" fontId="8" fillId="14" borderId="10" xfId="0" applyNumberFormat="1" applyFont="1" applyFill="1" applyBorder="1" applyAlignment="1">
      <x:alignment vertical="center" wrapText="1"/>
    </x:xf>
    <x:xf numFmtId="0" fontId="8" fillId="14" borderId="11" xfId="0" applyNumberFormat="1" applyFont="1" applyFill="1" applyBorder="1" applyAlignment="1">
      <x:alignment vertical="center" wrapText="1"/>
    </x:xf>
    <x:xf numFmtId="0" fontId="0" fillId="0" borderId="30" xfId="0" applyNumberFormat="1" applyFont="1" applyFill="1" applyBorder="1"/>
    <x:xf numFmtId="0" fontId="0" fillId="0" borderId="31" xfId="0" applyNumberFormat="1" applyFont="1" applyFill="1" applyBorder="1"/>
    <x:xf numFmtId="0" fontId="0" fillId="0" borderId="32" xfId="0" applyNumberFormat="1" applyFont="1" applyFill="1" applyBorder="1"/>
    <x:xf numFmtId="0" fontId="0" fillId="0" borderId="30" xfId="0" applyNumberFormat="1" applyFont="1" applyFill="1" applyBorder="1" applyAlignment="1">
      <x:alignment wrapText="1"/>
    </x:xf>
    <x:xf numFmtId="0" fontId="0" fillId="0" borderId="31" xfId="0" applyNumberFormat="1" applyFont="1" applyFill="1" applyBorder="1" applyAlignment="1">
      <x:alignment wrapText="1"/>
    </x:xf>
    <x:xf numFmtId="0" fontId="0" fillId="0" borderId="32" xfId="0" applyNumberFormat="1" applyFont="1" applyFill="1" applyBorder="1" applyAlignment="1">
      <x:alignment wrapText="1"/>
    </x:xf>
    <x:xf numFmtId="0" fontId="0" fillId="0" borderId="30" xfId="0" applyNumberFormat="1" applyFont="1" applyFill="1" applyBorder="1" applyAlignment="1">
      <x:alignment vertical="top" wrapText="1"/>
    </x:xf>
    <x:xf numFmtId="0" fontId="0" fillId="0" borderId="31" xfId="0" applyNumberFormat="1" applyFont="1" applyFill="1" applyBorder="1" applyAlignment="1">
      <x:alignment vertical="top" wrapText="1"/>
    </x:xf>
    <x:xf numFmtId="0" fontId="0" fillId="0" borderId="32" xfId="0" applyNumberFormat="1" applyFont="1" applyFill="1" applyBorder="1" applyAlignment="1">
      <x:alignment vertical="top" wrapText="1"/>
    </x:xf>
    <x:xf numFmtId="0" fontId="0" fillId="16" borderId="31" xfId="0" applyNumberFormat="1" applyFont="1" applyFill="1" applyBorder="1" applyAlignment="1">
      <x:alignment vertical="top" wrapText="1"/>
    </x:xf>
    <x:xf numFmtId="0" fontId="0" fillId="16" borderId="32" xfId="0" applyNumberFormat="1" applyFont="1" applyFill="1" applyBorder="1" applyAlignment="1">
      <x:alignment vertical="top" wrapText="1"/>
    </x:xf>
    <x:xf numFmtId="203" fontId="0" fillId="0" borderId="30" xfId="0" applyNumberFormat="1" applyFont="1" applyFill="1" applyBorder="1" applyAlignment="1">
      <x:alignment vertical="top" wrapText="1"/>
    </x:xf>
    <x:xf numFmtId="203" fontId="0" fillId="16" borderId="31" xfId="0" applyNumberFormat="1" applyFont="1" applyFill="1" applyBorder="1" applyAlignment="1">
      <x:alignment vertical="top" wrapText="1"/>
    </x:xf>
    <x:xf numFmtId="203" fontId="0" fillId="0" borderId="31" xfId="0" applyNumberFormat="1" applyFont="1" applyFill="1" applyBorder="1" applyAlignment="1">
      <x:alignment vertical="top" wrapText="1"/>
    </x:xf>
    <x:xf numFmtId="203" fontId="0" fillId="16" borderId="32" xfId="0" applyNumberFormat="1" applyFont="1" applyFill="1" applyBorder="1" applyAlignment="1">
      <x:alignment vertical="top" wrapText="1"/>
    </x:xf>
    <x:xf numFmtId="0" fontId="0" fillId="17" borderId="31" xfId="0" applyNumberFormat="1" applyFont="1" applyFill="1" applyBorder="1" applyAlignment="1">
      <x:alignment vertical="top" wrapText="1"/>
    </x:xf>
    <x:xf numFmtId="0" fontId="0" fillId="17" borderId="32" xfId="0" applyNumberFormat="1" applyFont="1" applyFill="1" applyBorder="1" applyAlignment="1">
      <x:alignment vertical="top" wrapText="1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3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3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32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3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31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32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30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31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32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16" borderId="31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168" fontId="0" fillId="0" borderId="30" xfId="0" applyNumberFormat="1" applyFont="1" applyFill="1" applyBorder="1" applyAlignment="1">
      <x:alignment vertical="top" wrapText="1"/>
    </x:xf>
    <x:xf numFmtId="168" fontId="0" fillId="16" borderId="31" xfId="0" applyNumberFormat="1" applyFont="1" applyFill="1" applyBorder="1" applyAlignment="1">
      <x:alignment vertical="top" wrapText="1"/>
    </x:xf>
    <x:xf numFmtId="168" fontId="0" fillId="0" borderId="31" xfId="0" applyNumberFormat="1" applyFont="1" applyFill="1" applyBorder="1" applyAlignment="1">
      <x:alignment vertical="top" wrapText="1"/>
    </x:xf>
    <x:xf numFmtId="168" fontId="0" fillId="0" borderId="32" xfId="0" applyNumberFormat="1" applyFont="1" applyFill="1" applyBorder="1" applyAlignment="1">
      <x:alignment vertical="top" wrapText="1"/>
    </x:xf>
    <x:xf numFmtId="201" fontId="0" fillId="0" borderId="30" xfId="0" applyNumberFormat="1" applyFont="1" applyFill="1" applyBorder="1" applyAlignment="1">
      <x:alignment vertical="top" wrapText="1"/>
    </x:xf>
    <x:xf numFmtId="201" fontId="0" fillId="16" borderId="31" xfId="0" applyNumberFormat="1" applyFont="1" applyFill="1" applyBorder="1" applyAlignment="1">
      <x:alignment vertical="top" wrapText="1"/>
    </x:xf>
    <x:xf numFmtId="201" fontId="0" fillId="0" borderId="31" xfId="0" applyNumberFormat="1" applyFont="1" applyFill="1" applyBorder="1" applyAlignment="1">
      <x:alignment vertical="top" wrapText="1"/>
    </x:xf>
    <x:xf numFmtId="201" fontId="0" fillId="0" borderId="32" xfId="0" applyNumberFormat="1" applyFont="1" applyFill="1" applyBorder="1" applyAlignment="1">
      <x:alignment vertical="top" wrapText="1"/>
    </x:xf>
    <x:xf numFmtId="204" fontId="0" fillId="0" borderId="30" xfId="0" applyNumberFormat="1" applyFont="1" applyFill="1" applyBorder="1" applyAlignment="1">
      <x:alignment vertical="top" wrapText="1"/>
    </x:xf>
    <x:xf numFmtId="204" fontId="0" fillId="16" borderId="31" xfId="0" applyNumberFormat="1" applyFont="1" applyFill="1" applyBorder="1" applyAlignment="1">
      <x:alignment vertical="top" wrapText="1"/>
    </x:xf>
    <x:xf numFmtId="204" fontId="0" fillId="0" borderId="31" xfId="0" applyNumberFormat="1" applyFont="1" applyFill="1" applyBorder="1" applyAlignment="1">
      <x:alignment vertical="top" wrapText="1"/>
    </x:xf>
    <x:xf numFmtId="204" fontId="0" fillId="0" borderId="32" xfId="0" applyNumberFormat="1" applyFont="1" applyFill="1" applyBorder="1" applyAlignment="1">
      <x:alignment vertical="top" wrapText="1"/>
    </x:xf>
    <x:xf numFmtId="0" fontId="0" fillId="0" borderId="30" xfId="0" applyNumberFormat="1" applyFont="1" applyFill="1" applyBorder="1" applyAlignment="1">
      <x:alignment horizontal="center"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16" borderId="31" xfId="0" applyNumberFormat="1" applyFont="1" applyFill="1" applyBorder="1" applyAlignment="1">
      <x:alignment horizontal="center"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31" xfId="0" applyNumberFormat="1" applyFont="1" applyFill="1" applyBorder="1" applyAlignment="1">
      <x:alignment horizontal="center"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32" xfId="0" applyNumberFormat="1" applyFont="1" applyFill="1" applyBorder="1" applyAlignment="1">
      <x:alignment horizontal="center"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18" borderId="31" xfId="0" applyNumberFormat="1" applyFont="1" applyFill="1" applyBorder="1" applyAlignment="1">
      <x:alignment vertical="top" wrapText="1"/>
    </x:xf>
    <x:xf numFmtId="168" fontId="0" fillId="18" borderId="31" xfId="0" applyNumberFormat="1" applyFont="1" applyFill="1" applyBorder="1" applyAlignment="1">
      <x:alignment vertical="top" wrapText="1"/>
    </x:xf>
    <x:xf numFmtId="201" fontId="0" fillId="18" borderId="31" xfId="0" applyNumberFormat="1" applyFont="1" applyFill="1" applyBorder="1" applyAlignment="1">
      <x:alignment vertical="top" wrapText="1"/>
    </x:xf>
    <x:xf numFmtId="204" fontId="0" fillId="18" borderId="31" xfId="0" applyNumberFormat="1" applyFont="1" applyFill="1" applyBorder="1" applyAlignment="1">
      <x:alignment vertical="top" wrapText="1"/>
    </x:xf>
    <x:xf numFmtId="0" fontId="0" fillId="18" borderId="31" xfId="0" applyNumberFormat="1" applyFont="1" applyFill="1" applyBorder="1" applyAlignment="1">
      <x:alignment horizontal="center"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3" fontId="0" fillId="0" borderId="0" xfId="0" applyNumberFormat="1" applyFont="1" applyFill="1" applyBorder="1"/>
  </x:cellXfs>
  <x:cellStyles count="1">
    <x:cellStyle name="Normal" xfId="0"/>
  </x:cellStyles>
  <x:dxfs count="3">
    <x:dxf>
      <x:font>
        <x:b/>
        <x:color rgb="FF38761D"/>
      </x:font>
      <x:fill>
        <x:patternFill>
          <x:bgColor rgb="FFE2F0D9"/>
        </x:patternFill>
      </x:fill>
    </x:dxf>
    <x:dxf>
      <x:font>
        <x:b/>
        <x:color rgb="FFB71C1C"/>
      </x:font>
      <x:fill>
        <x:patternFill>
          <x:bgColor rgb="FFFCE8E6"/>
        </x:patternFill>
      </x:fill>
    </x:dxf>
    <x:dxf>
      <x:fill>
        <x:patternFill patternType="solid">
          <x:bgColor rgb="FFF6E6B4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4d6e718de84222" /><Relationship Type="http://schemas.openxmlformats.org/officeDocument/2006/relationships/theme" Target="/xl/theme/theme1.xml" Id="R3736c622c92b4d2f" /><Relationship Type="http://schemas.microsoft.com/office/2022/11/relationships/FeaturePropertyBag" Target="/xl/featurePropertyBag/featurePropertyBag.xml" Id="R0a1c337652a34416" /><Relationship Type="http://schemas.openxmlformats.org/officeDocument/2006/relationships/sharedStrings" Target="/xl/sharedStrings.xml" Id="Rea5264eeaf514622" /><Relationship Type="http://schemas.openxmlformats.org/officeDocument/2006/relationships/worksheet" Target="/xl/worksheets/sheet1.xml" Id="R75835e508ea842d2" /><Relationship Type="http://schemas.openxmlformats.org/officeDocument/2006/relationships/worksheet" Target="/xl/worksheets/sheet2.xml" Id="R0013e1f597a3460b" /><Relationship Type="http://schemas.openxmlformats.org/officeDocument/2006/relationships/worksheet" Target="/xl/worksheets/sheet3.xml" Id="Ra9f934580c0c41dd" /><Relationship Type="http://schemas.openxmlformats.org/officeDocument/2006/relationships/worksheet" Target="/xl/worksheets/sheet4.xml" Id="R3d4c52200e2b4e57" /><Relationship Type="http://schemas.openxmlformats.org/officeDocument/2006/relationships/worksheet" Target="/xl/worksheets/sheet5.xml" Id="R0b8571fe5ac4464f" /><Relationship Type="http://schemas.openxmlformats.org/officeDocument/2006/relationships/worksheet" Target="/xl/worksheets/sheet6.xml" Id="R35266b879dfa4528" /><Relationship Type="http://schemas.openxmlformats.org/officeDocument/2006/relationships/worksheet" Target="/xl/worksheets/sheet7.xml" Id="R0f3dcb09f661462d" /><Relationship Type="http://schemas.openxmlformats.org/officeDocument/2006/relationships/worksheet" Target="/xl/worksheets/sheet8.xml" Id="R37418b9d6470453f" /><Relationship Type="http://schemas.openxmlformats.org/officeDocument/2006/relationships/worksheet" Target="/xl/worksheets/sheet9.xml" Id="Rc5c03af579e3457e" /><Relationship Type="http://schemas.openxmlformats.org/officeDocument/2006/relationships/worksheet" Target="/xl/worksheets/sheet10.xml" Id="R750fa52940494958" /><Relationship Type="http://schemas.openxmlformats.org/officeDocument/2006/relationships/worksheet" Target="/xl/worksheets/sheet11.xml" Id="R3ee0efb6b758468f" /><Relationship Type="http://schemas.openxmlformats.org/officeDocument/2006/relationships/worksheet" Target="/xl/worksheets/sheet12.xml" Id="Rad1a50b3bceb4bae" /><Relationship Type="http://schemas.openxmlformats.org/officeDocument/2006/relationships/worksheet" Target="/xl/worksheets/sheet13.xml" Id="R6ba3516e266f496b" /><Relationship Type="http://schemas.openxmlformats.org/officeDocument/2006/relationships/worksheet" Target="/xl/worksheets/sheet14.xml" Id="R355e06da178b4e0e" /><Relationship Type="http://schemas.openxmlformats.org/officeDocument/2006/relationships/worksheet" Target="/xl/worksheets/sheet15.xml" Id="R458ae98bea414146" /><Relationship Type="http://schemas.openxmlformats.org/officeDocument/2006/relationships/worksheet" Target="/xl/worksheets/sheet16.xml" Id="R0ce85b04c83c4e06" /><Relationship Type="http://schemas.openxmlformats.org/officeDocument/2006/relationships/worksheet" Target="/xl/worksheets/sheet17.xml" Id="R70deb92fed614395" /><Relationship Type="http://schemas.openxmlformats.org/officeDocument/2006/relationships/worksheet" Target="/xl/worksheets/sheet18.xml" Id="R6fb2d703ef014e15" /><Relationship Type="http://schemas.openxmlformats.org/officeDocument/2006/relationships/worksheet" Target="/xl/worksheets/sheet19.xml" Id="R42fdf8045be14daf" /><Relationship Type="http://schemas.openxmlformats.org/officeDocument/2006/relationships/worksheet" Target="/xl/worksheets/sheet20.xml" Id="Rc51d0b4ef07649c7" /><Relationship Type="http://schemas.openxmlformats.org/officeDocument/2006/relationships/worksheet" Target="/xl/worksheets/sheet21.xml" Id="R1b303a774b954e30" /><Relationship Type="http://schemas.openxmlformats.org/officeDocument/2006/relationships/worksheet" Target="/xl/worksheets/sheet22.xml" Id="R6ed844eb7ceb4c8a" /><Relationship Type="http://schemas.openxmlformats.org/officeDocument/2006/relationships/worksheet" Target="/xl/worksheets/sheet23.xml" Id="R5e3b893f055e4f5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1831837f1a14d06" /><Relationship Type="http://schemas.openxmlformats.org/officeDocument/2006/relationships/chart" Target="/xl/drawings/charts/chart2.xml" Id="R8047c088486d4eb2" /><Relationship Type="http://schemas.openxmlformats.org/officeDocument/2006/relationships/chart" Target="/xl/drawings/charts/chart3.xml" Id="Rf5a6eaea501b47b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Tres riesgos distintos</a:t>
            </a:r>
          </a:p>
        </c:rich>
      </c:tx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varyColors val="0"/>
        <c:ser>
          <c:idx val="0"/>
          <c:order val="0"/>
          <c:tx>
            <c:v>Probabilidad</c:v>
          </c:tx>
          <c:spPr>
            <a:solidFill xmlns:a="http://schemas.openxmlformats.org/drawingml/2006/main">
              <a:srgbClr val="1F6A8A"/>
            </a:solidFill>
          </c:spPr>
          <c:cat>
            <c:strRef>
              <c:f>'Panel de control'!$I$12:$I$14</c:f>
              <c:strCache>
                <c:ptCount val="0"/>
              </c:strCache>
            </c:strRef>
          </c:cat>
          <c:val>
            <c:numRef>
              <c:f>'Panel de control'!$J$12:$J$14</c:f>
              <c:numCache>
                <c:formatCode>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  <c:lblAlgn val="ctr"/>
        <c:lblOffset val="100"/>
        <c:noMultiLvlLbl val="0"/>
      </c:catAx>
      <c:valAx>
        <c:axId val="48672768"/>
        <c:scaling>
          <c:orientation val="minMax"/>
          <c:max val="0.3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Stock y flujos acumulados (M€ reales)</a:t>
            </a:r>
          </a:p>
        </c:rich>
      </c:tx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lineChart>
        <c:grouping val="standard"/>
        <c:ser>
          <c:idx val="0"/>
          <c:order val="0"/>
          <c:tx>
            <c:v>Patrimonio</c:v>
          </c:tx>
          <c:spPr>
            <a:ln xmlns:a="http://schemas.openxmlformats.org/drawingml/2006/main" w="19050">
              <a:solidFill>
                <a:srgbClr val="1F6A8A"/>
              </a:solidFill>
            </a:ln>
          </c:spPr>
          <c:marker>
            <c:symbol val="none"/>
          </c:marker>
          <c:cat>
            <c:strRef>
              <c:f>'Panel de control'!$A$12:$A$51</c:f>
              <c:strCache>
                <c:ptCount val="0"/>
              </c:strCache>
            </c:strRef>
          </c:cat>
          <c:val>
            <c:numRef>
              <c:f>'Panel de control'!$B$12:$B$51</c:f>
              <c:numCache>
                <c:formatCode>0.0,," bn€"</c:formatCode>
                <c:ptCount val="0"/>
              </c:numCache>
            </c:numRef>
          </c:val>
        </c:ser>
        <c:ser>
          <c:idx val="1"/>
          <c:order val="1"/>
          <c:tx>
            <c:v>Aportaciones acum.</c:v>
          </c:tx>
          <c:spPr>
            <a:ln xmlns:a="http://schemas.openxmlformats.org/drawingml/2006/main" w="19050">
              <a:solidFill>
                <a:srgbClr val="E66B2E"/>
              </a:solidFill>
            </a:ln>
          </c:spPr>
          <c:marker>
            <c:symbol val="none"/>
          </c:marker>
          <c:cat>
            <c:strRef>
              <c:f>'Panel de control'!$A$12:$A$51</c:f>
              <c:strCache>
                <c:ptCount val="0"/>
              </c:strCache>
            </c:strRef>
          </c:cat>
          <c:val>
            <c:numRef>
              <c:f>'Panel de control'!$C$12:$C$51</c:f>
              <c:numCache>
                <c:formatCode>0.0,," bn€"</c:formatCode>
                <c:ptCount val="0"/>
              </c:numCache>
            </c:numRef>
          </c:val>
        </c:ser>
        <c:ser>
          <c:idx val="2"/>
          <c:order val="2"/>
          <c:tx>
            <c:v>Distribuciones acum.</c:v>
          </c:tx>
          <c:spPr>
            <a:ln xmlns:a="http://schemas.openxmlformats.org/drawingml/2006/main" w="19050">
              <a:solidFill>
                <a:srgbClr val="2E7D32"/>
              </a:solidFill>
            </a:ln>
          </c:spPr>
          <c:marker>
            <c:symbol val="none"/>
          </c:marker>
          <c:cat>
            <c:strRef>
              <c:f>'Panel de control'!$A$12:$A$51</c:f>
              <c:strCache>
                <c:ptCount val="0"/>
              </c:strCache>
            </c:strRef>
          </c:cat>
          <c:val>
            <c:numRef>
              <c:f>'Panel de control'!$D$12:$D$51</c:f>
              <c:numCache>
                <c:formatCode>0.0,," bn€"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/>
            </a:pPr>
          </a:p>
        </c:txPr>
        <c:crossAx val="48672768"/>
        <c:lblAlgn val="ctr"/>
        <c:lblOffset val="100"/>
        <c:noMultiLvlLbl val="0"/>
      </c:catAx>
      <c:valAx>
        <c:axId val="48672768"/>
        <c:scaling>
          <c:orientation val="minMax"/>
          <c:max val="3500000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,,&quot; bn€&quot;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675"/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Patrimonio terminal por escenario</a:t>
            </a:r>
          </a:p>
        </c:rich>
      </c:tx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varyColors val="0"/>
        <c:ser>
          <c:idx val="0"/>
          <c:order val="0"/>
          <c:tx>
            <c:v>Patrimonio final</c:v>
          </c:tx>
          <c:spPr>
            <a:solidFill xmlns:a="http://schemas.openxmlformats.org/drawingml/2006/main">
              <a:srgbClr val="1F6A8A"/>
            </a:solidFill>
          </c:spPr>
          <c:cat>
            <c:strRef>
              <c:f>'Panel de control'!$F$12:$F$15</c:f>
              <c:strCache>
                <c:ptCount val="0"/>
              </c:strCache>
            </c:strRef>
          </c:cat>
          <c:val>
            <c:numRef>
              <c:f>'Panel de control'!$G$12:$G$15</c:f>
              <c:numCache>
                <c:formatCode>0.0,," bn€"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  <c:lblAlgn val="ctr"/>
        <c:lblOffset val="100"/>
        <c:noMultiLvlLbl val="0"/>
      </c:catAx>
      <c:valAx>
        <c:axId val="48672768"/>
        <c:scaling>
          <c:orientation val="minMax"/>
          <c:max val="6000000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,,&quot; bn€&quot;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17</xdr:row>
      <xdr:rowOff>0</xdr:rowOff>
    </xdr:from>
    <xdr:to>
      <xdr:col>15</xdr:col>
      <xdr:colOff>0</xdr:colOff>
      <xdr:row>35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1831837f1a14d06"/>
        </a:graphicData>
      </a:graphic>
    </xdr:graphicFrame>
    <xdr:clientData/>
  </xdr:twoCellAnchor>
  <xdr:twoCellAnchor>
    <xdr:from>
      <xdr:col>0</xdr:col>
      <xdr:colOff>0</xdr:colOff>
      <xdr:row>53</xdr:row>
      <xdr:rowOff>0</xdr:rowOff>
    </xdr:from>
    <xdr:to>
      <xdr:col>8</xdr:col>
      <xdr:colOff>0</xdr:colOff>
      <xdr:row>72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047c088486d4eb2"/>
        </a:graphicData>
      </a:graphic>
    </xdr:graphicFrame>
    <xdr:clientData/>
  </xdr:twoCellAnchor>
  <xdr:twoCellAnchor>
    <xdr:from>
      <xdr:col>8</xdr:col>
      <xdr:colOff>0</xdr:colOff>
      <xdr:row>53</xdr:row>
      <xdr:rowOff>0</xdr:rowOff>
    </xdr:from>
    <xdr:to>
      <xdr:col>15</xdr:col>
      <xdr:colOff>0</xdr:colOff>
      <xdr:row>72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5a6eaea501b47b3"/>
        </a:graphicData>
      </a:graphic>
    </xdr:graphicFrame>
    <xdr:clientData/>
  </xdr:twoCellAnchor>
</xdr:wsDr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/xl/drawings/drawing1.xml" Id="Rbf75f5fc30204c1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5" customWidth="1"/>
    <x:col min="2" max="2" width="15" customWidth="1"/>
    <x:col min="3" max="3" width="15" customWidth="1"/>
    <x:col min="4" max="4" width="15" customWidth="1"/>
    <x:col min="5" max="5" width="15" customWidth="1"/>
    <x:col min="6" max="6" width="15" customWidth="1"/>
    <x:col min="7" max="7" width="15" customWidth="1"/>
    <x:col min="8" max="8" width="5" customWidth="1"/>
  </x:cols>
  <x:sheetData>
    <x:row r="1">
      <x:c r="A1" s="4" t="inlineStr">
        <x:is>
          <x:t xml:space="preserve">ERARIO PATRIMONIAL PERMANENTE</x:t>
        </x:is>
      </x:c>
    </x:row>
    <x:row r="2"/>
    <x:row r="3"/>
    <x:row r="4"/>
    <x:row r="5">
      <x:c r="A5" s="6" t="str">
        <x:v>Modelo académico reproducible · versión 5.2.0</x:v>
      </x:c>
    </x:row>
    <x:row r="6"/>
    <x:row r="7"/>
    <x:row r="8">
      <x:c r="B8" s="276" t="str">
        <x:v>Libro de cálculo auditable para un prototipo condicionado de acumulación patrimonial. Separa entradas, reglas, resultados deterministas y resultados probabilísticos. No es un modelo actuarial de prestaciones, una proyección fiscal, una previsión oficial ni una recomendación de inversión.</x:v>
      </x:c>
      <x:c r="C8" s="277" t="n"/>
      <x:c r="D8" s="277" t="n"/>
      <x:c r="E8" s="277" t="n"/>
      <x:c r="F8" s="277" t="n"/>
      <x:c r="G8" s="278" t="n"/>
    </x:row>
    <x:row r="9">
      <x:c r="B9" s="279" t="n"/>
      <x:c r="G9" s="280" t="n"/>
    </x:row>
    <x:row r="10">
      <x:c r="B10" s="279" t="n"/>
      <x:c r="G10" s="280" t="n"/>
    </x:row>
    <x:row r="11">
      <x:c r="B11" s="281" t="n"/>
      <x:c r="C11" s="282" t="n"/>
      <x:c r="D11" s="282" t="n"/>
      <x:c r="E11" s="282" t="n"/>
      <x:c r="F11" s="282" t="n"/>
      <x:c r="G11" s="283" t="n"/>
    </x:row>
    <x:row r="12"/>
    <x:row r="13"/>
    <x:row r="14">
      <x:c r="B14" s="45" t="str">
        <x:v>Especificación canónica v5.2.0: 03_CODIGO/config/parametros_modelo.json · reglas: 03_CODIGO/pee_modelo.py</x:v>
      </x:c>
    </x:row>
    <x:row r="15"/>
    <x:row r="16"/>
    <x:row r="17">
      <x:c r="B17" s="50" t="str">
        <x:v>La coherencia aritmética y la reproducibilidad permiten examinar consecuencias condicionadas; no validan los supuestos, la viabilidad fiscal, la adecuación actuarial ni la legitimidad normativa.</x:v>
      </x:c>
    </x:row>
    <x:row r="18"/>
  </x:sheetData>
  <x:mergeCells>
    <x:mergeCell ref="B14:G14"/>
    <x:mergeCell ref="A5:H5"/>
    <x:mergeCell ref="B8:G11"/>
    <x:mergeCell ref="A1:H3"/>
    <x:mergeCell ref="B17:G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9" customWidth="1"/>
    <x:col min="2" max="2" width="24" customWidth="1"/>
    <x:col min="3" max="3" width="58" customWidth="1"/>
    <x:col min="4" max="4" width="24" customWidth="1"/>
  </x:cols>
  <x:sheetData>
    <x:row r="1" ht="34" customHeight="1">
      <x:c r="A1" s="52" t="inlineStr">
        <x:is>
          <x:t xml:space="preserve">Guía de lectura y reproducción</x:t>
        </x:is>
      </x:c>
    </x:row>
    <x:row r="2" ht="30" customHeight="1">
      <x:c r="A2" s="55" t="inlineStr">
        <x:is>
          <x:t xml:space="preserve">Entradas azules, fórmulas negras, vínculos internos verdes y advertencias metodológicas en amarillo.</x:t>
        </x:is>
      </x:c>
    </x:row>
    <x:row r="3"/>
    <x:row r="4">
      <x:c r="A4" s="64" t="inlineStr">
        <x:is>
          <x:t xml:space="preserve">Orden</x:t>
        </x:is>
      </x:c>
      <x:c r="B4" s="65" t="inlineStr">
        <x:is>
          <x:t xml:space="preserve">Hoja</x:t>
        </x:is>
      </x:c>
      <x:c r="C4" s="65" t="inlineStr">
        <x:is>
          <x:t xml:space="preserve">Función</x:t>
        </x:is>
      </x:c>
      <x:c r="D4" s="66" t="inlineStr">
        <x:is>
          <x:t xml:space="preserve">Editable</x:t>
        </x:is>
      </x:c>
    </x:row>
    <x:row r="5">
      <x:c r="A5" s="73" t="n">
        <x:v>1</x:v>
      </x:c>
      <x:c r="B5" s="73" t="inlineStr">
        <x:is>
          <x:t xml:space="preserve">Parámetros</x:t>
        </x:is>
      </x:c>
      <x:c r="C5" s="73" t="inlineStr">
        <x:is>
          <x:t xml:space="preserve">Fuente única de entradas deterministas.</x:t>
        </x:is>
      </x:c>
      <x:c r="D5" s="73" t="inlineStr">
        <x:is>
          <x:t xml:space="preserve">Sí, celdas azules</x:t>
        </x:is>
      </x:c>
    </x:row>
    <x:row r="6">
      <x:c r="A6" s="74" t="n">
        <x:v>2</x:v>
      </x:c>
      <x:c r="B6" s="74" t="inlineStr">
        <x:is>
          <x:t xml:space="preserve">Senda estatutaria</x:t>
        </x:is>
      </x:c>
      <x:c r="C6" s="74" t="inlineStr">
        <x:is>
          <x:t xml:space="preserve">Fracciones contributivas por ejercicio.</x:t>
        </x:is>
      </x:c>
      <x:c r="D6" s="74" t="inlineStr">
        <x:is>
          <x:t xml:space="preserve">Sí, celdas azules</x:t>
        </x:is>
      </x:c>
    </x:row>
    <x:row r="7">
      <x:c r="A7" s="74" t="n">
        <x:v>3</x:v>
      </x:c>
      <x:c r="B7" s="74" t="inlineStr">
        <x:is>
          <x:t xml:space="preserve">Modelo central</x:t>
        </x:is>
      </x:c>
      <x:c r="C7" s="74" t="inlineStr">
        <x:is>
          <x:t xml:space="preserve">Trayectoria anual formula por formula.</x:t>
        </x:is>
      </x:c>
      <x:c r="D7" s="74" t="inlineStr">
        <x:is>
          <x:t xml:space="preserve">No</x:t>
        </x:is>
      </x:c>
    </x:row>
    <x:row r="8">
      <x:c r="A8" s="74" t="n">
        <x:v>4</x:v>
      </x:c>
      <x:c r="B8" s="74" t="inlineStr">
        <x:is>
          <x:t xml:space="preserve">UCA ordinarias / UCA-I</x:t>
        </x:is>
      </x:c>
      <x:c r="C8" s="74" t="inlineStr">
        <x:is>
          <x:t xml:space="preserve">Formaliza derechos ordinarios y reserva institucional contingente.</x:t>
        </x:is>
      </x:c>
      <x:c r="D8" s="74" t="inlineStr">
        <x:is>
          <x:t xml:space="preserve">Solo hipótesis marcadas</x:t>
        </x:is>
      </x:c>
    </x:row>
    <x:row r="9">
      <x:c r="A9" s="74" t="n">
        <x:v>5</x:v>
      </x:c>
      <x:c r="B9" s="74" t="inlineStr">
        <x:is>
          <x:t xml:space="preserve">Escenarios / estrés / Monte Carlo</x:t>
        </x:is>
      </x:c>
      <x:c r="C9" s="74" t="inlineStr">
        <x:is>
          <x:t xml:space="preserve">Salidas del script Python versionado.</x:t>
        </x:is>
      </x:c>
      <x:c r="D9" s="74" t="inlineStr">
        <x:is>
          <x:t xml:space="preserve">No; regenerar con Python</x:t>
        </x:is>
      </x:c>
    </x:row>
    <x:row r="10">
      <x:c r="A10" s="74" t="n">
        <x:v>6</x:v>
      </x:c>
      <x:c r="B10" s="74" t="inlineStr">
        <x:is>
          <x:t xml:space="preserve">Reconciliación / Checks</x:t>
        </x:is>
      </x:c>
      <x:c r="C10" s="74" t="inlineStr">
        <x:is>
          <x:t xml:space="preserve">Compara Excel, Python y restricciones estatutarias.</x:t>
        </x:is>
      </x:c>
      <x:c r="D10" s="74" t="inlineStr">
        <x:is>
          <x:t xml:space="preserve">No</x:t>
        </x:is>
      </x:c>
    </x:row>
    <x:row r="11">
      <x:c r="A11" s="75" t="n">
        <x:v>7</x:v>
      </x:c>
      <x:c r="B11" s="75" t="inlineStr">
        <x:is>
          <x:t xml:space="preserve">Panel de control</x:t>
        </x:is>
      </x:c>
      <x:c r="C11" s="75" t="inlineStr">
        <x:is>
          <x:t xml:space="preserve">Resumen visual sin ocultar incertidumbre.</x:t>
        </x:is>
      </x:c>
      <x:c r="D11" s="75" t="inlineStr">
        <x:is>
          <x:t xml:space="preserve">No</x:t>
        </x:is>
      </x:c>
    </x:row>
    <x:row r="12">
      <x:c r="A12" t="n">
        <x:v>8</x:v>
      </x:c>
      <x:c r="B12" t="str">
        <x:v>MC error / Incertidumbre / Reverse stress</x:v>
      </x:c>
      <x:c r="C12" t="str">
        <x:v>Separa error de simulación, incertidumbre no cuantificada y activación de salvaguardas.</x:v>
      </x:c>
      <x:c r="D12" t="str">
        <x:v>No; regenerar con Python</x:v>
      </x:c>
    </x:row>
    <x:row r="13"/>
    <x:row r="14">
      <x:c r="A14" s="76" t="inlineStr">
        <x:is>
          <x:t xml:space="preserve">Comando canónico</x:t>
        </x:is>
      </x:c>
      <x:c r="B14" s="77" t="n"/>
      <x:c r="C14" s="77" t="n"/>
      <x:c r="D14" s="78" t="n"/>
    </x:row>
    <x:row r="15">
      <x:c r="A15" s="82" t="str">
        <x:v>python 03_CODIGO/pee_modelo.py --config 03_CODIGO/config/parametros_modelo.json --salida 04_DATOS/procesados --figuras 05_RESULTADOS/figuras</x:v>
      </x:c>
    </x:row>
    <x:row r="16"/>
    <x:row r="17"/>
    <x:row r="18"/>
    <x:row r="19">
      <x:c r="A19" s="284" t="str">
        <x:v>Los percentiles describen trayectorias bajo parámetros fijos. Los intervalos publicados miden error numérico de Monte Carlo, no incertidumbre paramétrica, estructural, actuarial, fiscal o jurídica.</x:v>
      </x:c>
      <x:c r="B19" s="69" t="n"/>
      <x:c r="C19" s="69" t="n"/>
      <x:c r="D19" s="285" t="n"/>
    </x:row>
    <x:row r="20">
      <x:c r="A20" s="286" t="n"/>
      <x:c r="D20" s="287" t="n"/>
    </x:row>
    <x:row r="21">
      <x:c r="A21" s="288" t="n"/>
      <x:c r="B21" s="67" t="n"/>
      <x:c r="C21" s="67" t="n"/>
      <x:c r="D21" s="289" t="n"/>
    </x:row>
  </x:sheetData>
  <x:mergeCells>
    <x:mergeCell ref="A2:H2"/>
    <x:mergeCell ref="A15:D16"/>
    <x:mergeCell ref="A19:D21"/>
    <x:mergeCell ref="A1:H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9" customWidth="1"/>
    <x:col min="2" max="2" width="28" customWidth="1"/>
    <x:col min="3" max="3" width="40" customWidth="1"/>
    <x:col min="4" max="4" width="62" customWidth="1"/>
    <x:col min="5" max="5" width="40" customWidth="1"/>
    <x:col min="6" max="6" width="26" customWidth="1"/>
  </x:cols>
  <x:sheetData>
    <x:row r="1" ht="34" customHeight="1">
      <x:c r="A1" s="52" t="inlineStr">
        <x:is>
          <x:t xml:space="preserve">Fuentes y trazabilidad</x:t>
        </x:is>
      </x:c>
    </x:row>
    <x:row r="2" ht="30" customHeight="1">
      <x:c r="A2" s="55" t="inlineStr">
        <x:is>
          <x:t xml:space="preserve">Solo se incorporan referencias identificables; las hipótesis del PEE se distinguen de los datos observados.</x:t>
        </x:is>
      </x:c>
    </x:row>
    <x:row r="3"/>
    <x:row r="4">
      <x:c r="A4" s="64" t="inlineStr">
        <x:is>
          <x:t xml:space="preserve">ID</x:t>
        </x:is>
      </x:c>
      <x:c r="B4" s="65" t="inlineStr">
        <x:is>
          <x:t xml:space="preserve">Entidad</x:t>
        </x:is>
      </x:c>
      <x:c r="C4" s="65" t="inlineStr">
        <x:is>
          <x:t xml:space="preserve">Recurso</x:t>
        </x:is>
      </x:c>
      <x:c r="D4" s="65" t="inlineStr">
        <x:is>
          <x:t xml:space="preserve">URL / DOI</x:t>
        </x:is>
      </x:c>
      <x:c r="E4" s="65" t="inlineStr">
        <x:is>
          <x:t xml:space="preserve">Uso</x:t>
        </x:is>
      </x:c>
      <x:c r="F4" s="66" t="inlineStr">
        <x:is>
          <x:t xml:space="preserve">Tipo</x:t>
        </x:is>
      </x:c>
    </x:row>
    <x:row r="5">
      <x:c r="A5" s="73" t="inlineStr">
        <x:is>
          <x:t xml:space="preserve">F01</x:t>
        </x:is>
      </x:c>
      <x:c r="B5" s="73" t="inlineStr">
        <x:is>
          <x:t xml:space="preserve">Eurostat</x:t>
        </x:is>
      </x:c>
      <x:c r="C5" s="73" t="inlineStr">
        <x:is>
          <x:t xml:space="preserve">Population structure indicators, demo_pjanind</x:t>
        </x:is>
      </x:c>
      <x:c r="D5" s="102" t="inlineStr">
        <x:is>
          <x:t xml:space="preserve">https://doi.org/10.2908/demo_pjanind</x:t>
        </x:is>
      </x:c>
      <x:c r="E5" s="73" t="inlineStr">
        <x:is>
          <x:t xml:space="preserve">Edad mediana, población 65+ y dependencia</x:t>
        </x:is>
      </x:c>
      <x:c r="F5" s="73" t="inlineStr">
        <x:is>
          <x:t xml:space="preserve">Dato oficial</x:t>
        </x:is>
      </x:c>
    </x:row>
    <x:row r="6">
      <x:c r="A6" s="74" t="inlineStr">
        <x:is>
          <x:t xml:space="preserve">F02</x:t>
        </x:is>
      </x:c>
      <x:c r="B6" s="74" t="inlineStr">
        <x:is>
          <x:t xml:space="preserve">Eurostat</x:t>
        </x:is>
      </x:c>
      <x:c r="C6" s="74" t="inlineStr">
        <x:is>
          <x:t xml:space="preserve">Population on 1 January, demo_pjan</x:t>
        </x:is>
      </x:c>
      <x:c r="D6" s="103" t="inlineStr">
        <x:is>
          <x:t xml:space="preserve">https://doi.org/10.2908/demo_pjan</x:t>
        </x:is>
      </x:c>
      <x:c r="E6" s="74" t="inlineStr">
        <x:is>
          <x:t xml:space="preserve">Población UE</x:t>
        </x:is>
      </x:c>
      <x:c r="F6" s="74" t="inlineStr">
        <x:is>
          <x:t xml:space="preserve">Dato oficial</x:t>
        </x:is>
      </x:c>
    </x:row>
    <x:row r="7">
      <x:c r="A7" s="74" t="inlineStr">
        <x:is>
          <x:t xml:space="preserve">F03</x:t>
        </x:is>
      </x:c>
      <x:c r="B7" s="74" t="inlineStr">
        <x:is>
          <x:t xml:space="preserve">Comisión Europea</x:t>
        </x:is>
      </x:c>
      <x:c r="C7" s="74" t="inlineStr">
        <x:is>
          <x:t xml:space="preserve">2024 Ageing Report</x:t>
        </x:is>
      </x:c>
      <x:c r="D7" s="103" t="inlineStr">
        <x:is>
          <x:t xml:space="preserve">https://doi.org/10.2765/022983</x:t>
        </x:is>
      </x:c>
      <x:c r="E7" s="74" t="inlineStr">
        <x:is>
          <x:t xml:space="preserve">Contexto demográfico y fiscal</x:t>
        </x:is>
      </x:c>
      <x:c r="F7" s="74" t="inlineStr">
        <x:is>
          <x:t xml:space="preserve">Proyección institucional</x:t>
        </x:is>
      </x:c>
    </x:row>
    <x:row r="8">
      <x:c r="A8" s="74" t="inlineStr">
        <x:is>
          <x:t xml:space="preserve">F04</x:t>
        </x:is>
      </x:c>
      <x:c r="B8" s="74" t="inlineStr">
        <x:is>
          <x:t xml:space="preserve">Eurostat</x:t>
        </x:is>
      </x:c>
      <x:c r="C8" s="74" t="inlineStr">
        <x:is>
          <x:t xml:space="preserve">Fertility statistics</x:t>
        </x:is>
      </x:c>
      <x:c r="D8" s="103" t="inlineStr">
        <x:is>
          <x:t xml:space="preserve">https://ec.europa.eu/eurostat/statistics-explained/index.php?title=Fertility_statistics</x:t>
        </x:is>
      </x:c>
      <x:c r="E8" s="74" t="inlineStr">
        <x:is>
          <x:t xml:space="preserve">Fecundidad UE</x:t>
        </x:is>
      </x:c>
      <x:c r="F8" s="74" t="inlineStr">
        <x:is>
          <x:t xml:space="preserve">Dato oficial</x:t>
        </x:is>
      </x:c>
    </x:row>
    <x:row r="9">
      <x:c r="A9" s="74" t="str">
        <x:v>F05</x:v>
      </x:c>
      <x:c r="B9" s="74" t="str">
        <x:v>Norges Bank Investment Management</x:v>
      </x:c>
      <x:c r="C9" s="74" t="str">
        <x:v>Annual report 2025</x:v>
      </x:c>
      <x:c r="D9" s="103" t="str">
        <x:v>https://www.nbim.no/en/news-and-insights/reports/2025/annual-report-2025/web-report-annual-report-2025/</x:v>
      </x:c>
      <x:c r="E9" s="74" t="str">
        <x:v>Benchmark institucional de costes y retorno histórico; no estimador del PEE</x:v>
      </x:c>
      <x:c r="F9" s="74" t="str">
        <x:v>Memoria institucional</x:v>
      </x:c>
    </x:row>
    <x:row r="10">
      <x:c r="A10" s="74" t="inlineStr">
        <x:is>
          <x:t xml:space="preserve">F06</x:t>
        </x:is>
      </x:c>
      <x:c r="B10" s="74" t="inlineStr">
        <x:is>
          <x:t xml:space="preserve">Código del proyecto</x:t>
        </x:is>
      </x:c>
      <x:c r="C10" s="74" t="str">
        <x:v>pee_modelo.py v5.2.0</x:v>
      </x:c>
      <x:c r="D10" s="103" t="inlineStr">
        <x:is>
          <x:t xml:space="preserve">03_CODIGO/pee_modelo.py</x:t>
        </x:is>
      </x:c>
      <x:c r="E10" s="74" t="str">
        <x:v>Reglas deterministas, estocásticas, validaciones y error Monte Carlo</x:v>
      </x:c>
      <x:c r="F10" s="74" t="inlineStr">
        <x:is>
          <x:t xml:space="preserve">Fuente interna reproducible</x:t>
        </x:is>
      </x:c>
    </x:row>
    <x:row r="11">
      <x:c r="A11" s="75" t="inlineStr">
        <x:is>
          <x:t xml:space="preserve">F07</x:t>
        </x:is>
      </x:c>
      <x:c r="B11" s="75" t="inlineStr">
        <x:is>
          <x:t xml:space="preserve">Configuración del proyecto</x:t>
        </x:is>
      </x:c>
      <x:c r="C11" s="75" t="inlineStr">
        <x:is>
          <x:t xml:space="preserve">parametros_modelo.json</x:t>
        </x:is>
      </x:c>
      <x:c r="D11" s="75" t="inlineStr">
        <x:is>
          <x:t xml:space="preserve">03_CODIGO/config/parametros_modelo.json</x:t>
        </x:is>
      </x:c>
      <x:c r="E11" s="75" t="inlineStr">
        <x:is>
          <x:t xml:space="preserve">Parámetros de ParametrosPEE</x:t>
        </x:is>
      </x:c>
      <x:c r="F11" s="75" t="inlineStr">
        <x:is>
          <x:t xml:space="preserve">Hipótesis</x:t>
        </x:is>
      </x:c>
    </x:row>
    <x:row r="12">
      <x:c r="A12" t="inlineStr">
        <x:is>
          <x:t xml:space="preserve">F08</x:t>
        </x:is>
      </x:c>
      <x:c r="B12" t="inlineStr">
        <x:is>
          <x:t xml:space="preserve">Especificación del experimento</x:t>
        </x:is>
      </x:c>
      <x:c r="C12" t="str">
        <x:v>parametros_modelo.json v5.2.0</x:v>
      </x:c>
      <x:c r="D12" t="inlineStr">
        <x:is>
          <x:t xml:space="preserve">03_CODIGO/pee_modelo.py</x:t>
        </x:is>
      </x:c>
      <x:c r="E12" t="str">
        <x:v>Escenarios, estrés, sensibilidad, Monte Carlo, alcance y trazabilidad</x:v>
      </x:c>
      <x:c r="F12" t="inlineStr">
        <x:is>
          <x:t xml:space="preserve">Reglas explícitas en código</x:t>
        </x:is>
      </x:c>
    </x:row>
    <x:row r="13">
      <x:c r="A13" t="str">
        <x:v>F09</x:v>
      </x:c>
      <x:c r="B13" t="str">
        <x:v>Código del proyecto</x:v>
      </x:c>
      <x:c r="C13" t="str">
        <x:v>tests/test_modelo.py v5.2.0</x:v>
      </x:c>
      <x:c r="D13" t="str">
        <x:v>03_CODIGO/tests/test_modelo.py</x:v>
      </x:c>
      <x:c r="E13" t="str">
        <x:v>Controles de configuración, identidades, UCA, Monte Carlo, estrés y Eurostat</x:v>
      </x:c>
      <x:c r="F13" t="str">
        <x:v>Pruebas reproducibles</x:v>
      </x:c>
    </x:row>
    <x:row r="14">
      <x:c r="A14" s="284" t="inlineStr">
        <x:is>
          <x:t xml:space="preserve">Fecha de recuperación de la serie Eurostat: 22 de julio de 2026. El año 2013 permanece vacío porque la respuesta oficial no contiene esos valores; no se interpola.</x:t>
        </x:is>
      </x:c>
      <x:c r="B14" s="69" t="n"/>
      <x:c r="C14" s="69" t="n"/>
      <x:c r="D14" s="69" t="n"/>
      <x:c r="E14" s="69" t="n"/>
      <x:c r="F14" s="285" t="n"/>
    </x:row>
    <x:row r="15">
      <x:c r="A15" s="286" t="n"/>
      <x:c r="F15" s="287" t="n"/>
    </x:row>
    <x:row r="16">
      <x:c r="A16" s="288" t="n"/>
      <x:c r="B16" s="67" t="n"/>
      <x:c r="C16" s="67" t="n"/>
      <x:c r="D16" s="67" t="n"/>
      <x:c r="E16" s="67" t="n"/>
      <x:c r="F16" s="289" t="n"/>
    </x:row>
  </x:sheetData>
  <x:mergeCells>
    <x:mergeCell ref="A14:F16"/>
    <x:mergeCell ref="A2:H2"/>
    <x:mergeCell ref="A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2" customWidth="1"/>
    <x:col min="2" max="2" width="18" customWidth="1"/>
    <x:col min="3" max="3" width="18" customWidth="1"/>
    <x:col min="4" max="4" width="18" customWidth="1"/>
    <x:col min="5" max="5" width="26" customWidth="1"/>
    <x:col min="8" max="8" width="17" hidden="0" customWidth="1"/>
    <x:col min="9" max="9" width="17" hidden="0" customWidth="1"/>
    <x:col min="10" max="10" width="17" hidden="0" customWidth="1"/>
  </x:cols>
  <x:sheetData>
    <x:row r="1" ht="34" customHeight="1">
      <x:c r="A1" s="52" t="inlineStr">
        <x:is>
          <x:t xml:space="preserve">Datos originales: Eurostat</x:t>
        </x:is>
      </x:c>
    </x:row>
    <x:row r="2" ht="30" customHeight="1">
      <x:c r="A2" s="55" t="inlineStr">
        <x:is>
          <x:t xml:space="preserve">Dataset demo_pjanind, EU27_2020. La ausencia de 2013 se conserva.</x:t>
        </x:is>
      </x:c>
    </x:row>
    <x:row r="3"/>
    <x:row r="4">
      <x:c r="A4" s="64" t="inlineStr">
        <x:is>
          <x:t xml:space="preserve">Año</x:t>
        </x:is>
      </x:c>
      <x:c r="B4" s="65" t="inlineStr">
        <x:is>
          <x:t xml:space="preserve">MEDAGEPOP</x:t>
        </x:is>
      </x:c>
      <x:c r="C4" s="65" t="inlineStr">
        <x:is>
          <x:t xml:space="preserve">OLDDEP1</x:t>
        </x:is>
      </x:c>
      <x:c r="D4" s="65" t="inlineStr">
        <x:is>
          <x:t xml:space="preserve">PC_Y65_MAX</x:t>
        </x:is>
      </x:c>
      <x:c r="E4" s="66" t="inlineStr">
        <x:is>
          <x:t xml:space="preserve">Personas_15_64_por_65_mas</x:t>
        </x:is>
      </x:c>
      <x:c r="G4" s="284" t="str">
        <x:v>Fuente: Eurostat, demo_pjanind. MEDAGEPOP = edad mediana; OLDDEP1 = relación de dependencia de mayores; PC_Y65_MAX = población de 65 o más años (%). H:J conservan las banderas de estado oficiales. No se interpola 2013.</x:v>
      </x:c>
      <x:c r="H4" s="349" t="str">
        <x:v>MEDAGEPOP status</x:v>
      </x:c>
      <x:c r="I4" s="349" t="str">
        <x:v>OLDDEP1 status</x:v>
      </x:c>
      <x:c r="J4" s="350" t="str">
        <x:v>PC_Y65_MAX status</x:v>
      </x:c>
    </x:row>
    <x:row r="5">
      <x:c r="A5" s="67" t="n">
        <x:v>2005</x:v>
      </x:c>
      <x:c r="B5" s="290" t="n">
        <x:v>39.6</x:v>
      </x:c>
      <x:c r="C5" s="290" t="n">
        <x:v>24.7</x:v>
      </x:c>
      <x:c r="D5" s="290" t="n">
        <x:v>16.7</x:v>
      </x:c>
      <x:c r="E5" s="290" t="n">
        <x:v>4.048582995951417</x:v>
      </x:c>
      <x:c r="G5" s="286" t="n"/>
      <x:c r="H5" s="351"/>
      <x:c r="I5" s="351"/>
      <x:c r="J5" s="352"/>
    </x:row>
    <x:row r="6">
      <x:c r="A6" s="68" t="n">
        <x:v>2006</x:v>
      </x:c>
      <x:c r="B6" s="291" t="n">
        <x:v>40</x:v>
      </x:c>
      <x:c r="C6" s="291" t="n">
        <x:v>25.1</x:v>
      </x:c>
      <x:c r="D6" s="291" t="n">
        <x:v>16.9</x:v>
      </x:c>
      <x:c r="E6" s="291" t="n">
        <x:v>3.98406374501992</x:v>
      </x:c>
      <x:c r="G6" s="286" t="n"/>
      <x:c r="H6" s="351"/>
      <x:c r="I6" s="351"/>
      <x:c r="J6" s="352"/>
    </x:row>
    <x:row r="7">
      <x:c r="A7" s="68" t="n">
        <x:v>2007</x:v>
      </x:c>
      <x:c r="B7" s="291" t="n">
        <x:v>40.3</x:v>
      </x:c>
      <x:c r="C7" s="291" t="n">
        <x:v>25.4</x:v>
      </x:c>
      <x:c r="D7" s="291" t="n">
        <x:v>17.1</x:v>
      </x:c>
      <x:c r="E7" s="291" t="n">
        <x:v>3.937007874015748</x:v>
      </x:c>
      <x:c r="G7" s="288" t="n"/>
      <x:c r="H7" s="353"/>
      <x:c r="I7" s="353"/>
      <x:c r="J7" s="354"/>
    </x:row>
    <x:row r="8">
      <x:c r="A8" s="68" t="n">
        <x:v>2008</x:v>
      </x:c>
      <x:c r="B8" s="291" t="n">
        <x:v>40.6</x:v>
      </x:c>
      <x:c r="C8" s="291" t="n">
        <x:v>25.7</x:v>
      </x:c>
      <x:c r="D8" s="291" t="n">
        <x:v>17.3</x:v>
      </x:c>
      <x:c r="E8" s="291" t="n">
        <x:v>3.891050583657587</x:v>
      </x:c>
      <x:c r="H8" s="351" t="str">
        <x:v>b</x:v>
      </x:c>
      <x:c r="I8" s="351" t="str">
        <x:v>b</x:v>
      </x:c>
      <x:c r="J8" s="351" t="str">
        <x:v>b</x:v>
      </x:c>
    </x:row>
    <x:row r="9">
      <x:c r="A9" s="68" t="n">
        <x:v>2009</x:v>
      </x:c>
      <x:c r="B9" s="291" t="n">
        <x:v>41</x:v>
      </x:c>
      <x:c r="C9" s="291" t="n">
        <x:v>26</x:v>
      </x:c>
      <x:c r="D9" s="291" t="n">
        <x:v>17.4</x:v>
      </x:c>
      <x:c r="E9" s="291" t="n">
        <x:v>3.846153846153846</x:v>
      </x:c>
      <x:c r="H9" s="351"/>
      <x:c r="I9" s="351"/>
      <x:c r="J9" s="351"/>
    </x:row>
    <x:row r="10">
      <x:c r="A10" s="68" t="n">
        <x:v>2010</x:v>
      </x:c>
      <x:c r="B10" s="291" t="n">
        <x:v>41.3</x:v>
      </x:c>
      <x:c r="C10" s="291" t="n">
        <x:v>26.3</x:v>
      </x:c>
      <x:c r="D10" s="291" t="n">
        <x:v>17.6</x:v>
      </x:c>
      <x:c r="E10" s="291" t="n">
        <x:v>3.802281368821293</x:v>
      </x:c>
      <x:c r="H10" s="351" t="str">
        <x:v>b</x:v>
      </x:c>
      <x:c r="I10" s="351" t="str">
        <x:v>b</x:v>
      </x:c>
      <x:c r="J10" s="351" t="str">
        <x:v>b</x:v>
      </x:c>
    </x:row>
    <x:row r="11">
      <x:c r="A11" s="68" t="n">
        <x:v>2011</x:v>
      </x:c>
      <x:c r="B11" s="291" t="n">
        <x:v>41.6</x:v>
      </x:c>
      <x:c r="C11" s="291" t="n">
        <x:v>26.6</x:v>
      </x:c>
      <x:c r="D11" s="291" t="n">
        <x:v>17.8</x:v>
      </x:c>
      <x:c r="E11" s="291" t="n">
        <x:v>3.759398496240602</x:v>
      </x:c>
      <x:c r="H11" s="351" t="str">
        <x:v>b</x:v>
      </x:c>
      <x:c r="I11" s="351" t="str">
        <x:v>b</x:v>
      </x:c>
      <x:c r="J11" s="351" t="str">
        <x:v>b</x:v>
      </x:c>
    </x:row>
    <x:row r="12">
      <x:c r="A12" s="68" t="n">
        <x:v>2012</x:v>
      </x:c>
      <x:c r="B12" s="291" t="n">
        <x:v>41.9</x:v>
      </x:c>
      <x:c r="C12" s="291" t="n">
        <x:v>27.1</x:v>
      </x:c>
      <x:c r="D12" s="291" t="n">
        <x:v>18</x:v>
      </x:c>
      <x:c r="E12" s="291" t="n">
        <x:v>3.690036900369003</x:v>
      </x:c>
      <x:c r="H12" s="351" t="str">
        <x:v>b</x:v>
      </x:c>
      <x:c r="I12" s="351" t="str">
        <x:v>b</x:v>
      </x:c>
      <x:c r="J12" s="351" t="str">
        <x:v>b</x:v>
      </x:c>
    </x:row>
    <x:row r="13">
      <x:c r="A13" s="68" t="n">
        <x:v>2013</x:v>
      </x:c>
      <x:c r="B13" s="291" t="n"/>
      <x:c r="C13" s="291" t="n"/>
      <x:c r="D13" s="291" t="n"/>
      <x:c r="E13" s="291" t="n"/>
      <x:c r="H13" s="351"/>
      <x:c r="I13" s="351"/>
      <x:c r="J13" s="351"/>
    </x:row>
    <x:row r="14">
      <x:c r="A14" s="68" t="n">
        <x:v>2014</x:v>
      </x:c>
      <x:c r="B14" s="291" t="n">
        <x:v>42.5</x:v>
      </x:c>
      <x:c r="C14" s="291" t="n">
        <x:v>28.4</x:v>
      </x:c>
      <x:c r="D14" s="291" t="n">
        <x:v>18.7</x:v>
      </x:c>
      <x:c r="E14" s="291" t="n">
        <x:v>3.52112676056338</x:v>
      </x:c>
      <x:c r="H14" s="351" t="str">
        <x:v>be</x:v>
      </x:c>
      <x:c r="I14" s="351" t="str">
        <x:v>be</x:v>
      </x:c>
      <x:c r="J14" s="351" t="str">
        <x:v>be</x:v>
      </x:c>
    </x:row>
    <x:row r="15">
      <x:c r="A15" s="68" t="n">
        <x:v>2015</x:v>
      </x:c>
      <x:c r="B15" s="291" t="n">
        <x:v>42.8</x:v>
      </x:c>
      <x:c r="C15" s="291" t="n">
        <x:v>29</x:v>
      </x:c>
      <x:c r="D15" s="291" t="n">
        <x:v>19.1</x:v>
      </x:c>
      <x:c r="E15" s="291" t="n">
        <x:v>3.448275862068965</x:v>
      </x:c>
      <x:c r="H15" s="351" t="str">
        <x:v>be</x:v>
      </x:c>
      <x:c r="I15" s="351" t="str">
        <x:v>be</x:v>
      </x:c>
      <x:c r="J15" s="351" t="str">
        <x:v>be</x:v>
      </x:c>
    </x:row>
    <x:row r="16">
      <x:c r="A16" s="68" t="n">
        <x:v>2016</x:v>
      </x:c>
      <x:c r="B16" s="291" t="n">
        <x:v>43</x:v>
      </x:c>
      <x:c r="C16" s="291" t="n">
        <x:v>29.6</x:v>
      </x:c>
      <x:c r="D16" s="291" t="n">
        <x:v>19.4</x:v>
      </x:c>
      <x:c r="E16" s="291" t="n">
        <x:v>3.378378378378378</x:v>
      </x:c>
      <x:c r="H16" s="351" t="str">
        <x:v>be</x:v>
      </x:c>
      <x:c r="I16" s="351" t="str">
        <x:v>be</x:v>
      </x:c>
      <x:c r="J16" s="351" t="str">
        <x:v>be</x:v>
      </x:c>
    </x:row>
    <x:row r="17">
      <x:c r="A17" s="68" t="n">
        <x:v>2017</x:v>
      </x:c>
      <x:c r="B17" s="291" t="n">
        <x:v>43.2</x:v>
      </x:c>
      <x:c r="C17" s="291" t="n">
        <x:v>30.2</x:v>
      </x:c>
      <x:c r="D17" s="291" t="n">
        <x:v>19.7</x:v>
      </x:c>
      <x:c r="E17" s="291" t="n">
        <x:v>3.311258278145695</x:v>
      </x:c>
      <x:c r="H17" s="351" t="str">
        <x:v>be</x:v>
      </x:c>
      <x:c r="I17" s="351" t="str">
        <x:v>be</x:v>
      </x:c>
      <x:c r="J17" s="351" t="str">
        <x:v>be</x:v>
      </x:c>
    </x:row>
    <x:row r="18">
      <x:c r="A18" s="68" t="n">
        <x:v>2018</x:v>
      </x:c>
      <x:c r="B18" s="291" t="n">
        <x:v>43.5</x:v>
      </x:c>
      <x:c r="C18" s="291" t="n">
        <x:v>30.8</x:v>
      </x:c>
      <x:c r="D18" s="291" t="n">
        <x:v>20</x:v>
      </x:c>
      <x:c r="E18" s="291" t="n">
        <x:v>3.246753246753247</x:v>
      </x:c>
      <x:c r="H18" s="351" t="str">
        <x:v>e</x:v>
      </x:c>
      <x:c r="I18" s="351" t="str">
        <x:v>e</x:v>
      </x:c>
      <x:c r="J18" s="351" t="str">
        <x:v>e</x:v>
      </x:c>
    </x:row>
    <x:row r="19">
      <x:c r="A19" s="68" t="n">
        <x:v>2019</x:v>
      </x:c>
      <x:c r="B19" s="291" t="n">
        <x:v>43.7</x:v>
      </x:c>
      <x:c r="C19" s="291" t="n">
        <x:v>31.4</x:v>
      </x:c>
      <x:c r="D19" s="291" t="n">
        <x:v>20.3</x:v>
      </x:c>
      <x:c r="E19" s="291" t="n">
        <x:v>3.184713375796179</x:v>
      </x:c>
      <x:c r="H19" s="351"/>
      <x:c r="I19" s="351"/>
      <x:c r="J19" s="351"/>
    </x:row>
    <x:row r="20">
      <x:c r="A20" s="68" t="n">
        <x:v>2020</x:v>
      </x:c>
      <x:c r="B20" s="291" t="n">
        <x:v>43.9</x:v>
      </x:c>
      <x:c r="C20" s="291" t="n">
        <x:v>32</x:v>
      </x:c>
      <x:c r="D20" s="291" t="n">
        <x:v>20.6</x:v>
      </x:c>
      <x:c r="E20" s="291" t="n">
        <x:v>3.125</x:v>
      </x:c>
      <x:c r="H20" s="351" t="str">
        <x:v>e</x:v>
      </x:c>
      <x:c r="I20" s="351" t="str">
        <x:v>e</x:v>
      </x:c>
      <x:c r="J20" s="351" t="str">
        <x:v>e</x:v>
      </x:c>
    </x:row>
    <x:row r="21">
      <x:c r="A21" s="68" t="n">
        <x:v>2021</x:v>
      </x:c>
      <x:c r="B21" s="291" t="n">
        <x:v>44.2</x:v>
      </x:c>
      <x:c r="C21" s="291" t="n">
        <x:v>32.6</x:v>
      </x:c>
      <x:c r="D21" s="291" t="n">
        <x:v>20.9</x:v>
      </x:c>
      <x:c r="E21" s="291" t="n">
        <x:v>3.067484662576687</x:v>
      </x:c>
      <x:c r="H21" s="351" t="str">
        <x:v>bep</x:v>
      </x:c>
      <x:c r="I21" s="351" t="str">
        <x:v>bep</x:v>
      </x:c>
      <x:c r="J21" s="351" t="str">
        <x:v>bep</x:v>
      </x:c>
    </x:row>
    <x:row r="22">
      <x:c r="A22" s="68" t="n">
        <x:v>2022</x:v>
      </x:c>
      <x:c r="B22" s="291" t="n">
        <x:v>44.4</x:v>
      </x:c>
      <x:c r="C22" s="291" t="n">
        <x:v>33.1</x:v>
      </x:c>
      <x:c r="D22" s="291" t="n">
        <x:v>21.1</x:v>
      </x:c>
      <x:c r="E22" s="291" t="n">
        <x:v>3.021148036253776</x:v>
      </x:c>
      <x:c r="H22" s="351"/>
      <x:c r="I22" s="351" t="str">
        <x:v>ep</x:v>
      </x:c>
      <x:c r="J22" s="351" t="str">
        <x:v>ep</x:v>
      </x:c>
    </x:row>
    <x:row r="23">
      <x:c r="A23" s="68" t="n">
        <x:v>2023</x:v>
      </x:c>
      <x:c r="B23" s="291" t="n">
        <x:v>44.5</x:v>
      </x:c>
      <x:c r="C23" s="291" t="n">
        <x:v>33.4</x:v>
      </x:c>
      <x:c r="D23" s="291" t="n">
        <x:v>21.3</x:v>
      </x:c>
      <x:c r="E23" s="291" t="n">
        <x:v>2.994011976047904</x:v>
      </x:c>
      <x:c r="H23" s="351" t="str">
        <x:v>bep</x:v>
      </x:c>
      <x:c r="I23" s="351" t="str">
        <x:v>bep</x:v>
      </x:c>
      <x:c r="J23" s="351" t="str">
        <x:v>bep</x:v>
      </x:c>
    </x:row>
    <x:row r="24">
      <x:c r="A24" s="68" t="n">
        <x:v>2024</x:v>
      </x:c>
      <x:c r="B24" s="291" t="n">
        <x:v>44.7</x:v>
      </x:c>
      <x:c r="C24" s="291" t="n">
        <x:v>33.9</x:v>
      </x:c>
      <x:c r="D24" s="291" t="n">
        <x:v>21.6</x:v>
      </x:c>
      <x:c r="E24" s="291" t="n">
        <x:v>2.949852507374632</x:v>
      </x:c>
      <x:c r="H24" s="351" t="str">
        <x:v>ep</x:v>
      </x:c>
      <x:c r="I24" s="351" t="str">
        <x:v>ep</x:v>
      </x:c>
      <x:c r="J24" s="351" t="str">
        <x:v>ep</x:v>
      </x:c>
    </x:row>
    <x:row r="25">
      <x:c r="A25" s="69" t="n">
        <x:v>2025</x:v>
      </x:c>
      <x:c r="B25" s="292" t="n">
        <x:v>44.9</x:v>
      </x:c>
      <x:c r="C25" s="292" t="n">
        <x:v>34.5</x:v>
      </x:c>
      <x:c r="D25" s="292" t="n">
        <x:v>22</x:v>
      </x:c>
      <x:c r="E25" s="292" t="n">
        <x:v>2.898550724637681</x:v>
      </x:c>
      <x:c r="H25" s="351" t="str">
        <x:v>ep</x:v>
      </x:c>
      <x:c r="I25" s="351" t="str">
        <x:v>ep</x:v>
      </x:c>
      <x:c r="J25" s="351" t="str">
        <x:v>ep</x:v>
      </x:c>
    </x:row>
  </x:sheetData>
  <x:mergeCells>
    <x:mergeCell ref="A2:H2"/>
    <x:mergeCell ref="G4:J7"/>
    <x:mergeCell ref="A1:H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8" customWidth="1"/>
    <x:col min="2" max="2" width="18" customWidth="1"/>
    <x:col min="3" max="3" width="22" customWidth="1"/>
    <x:col min="4" max="4" width="60" customWidth="1"/>
    <x:col min="6" max="6" width="20" customWidth="1"/>
    <x:col min="7" max="7" width="20" customWidth="1"/>
    <x:col min="8" max="8" width="20" customWidth="1"/>
    <x:col min="9" max="9" width="20" customWidth="1"/>
  </x:cols>
  <x:sheetData>
    <x:row r="1" ht="34" customHeight="1">
      <x:c r="A1" s="52" t="inlineStr">
        <x:is>
          <x:t xml:space="preserve">Parámetros canónicos</x:t>
        </x:is>
      </x:c>
    </x:row>
    <x:row r="2" ht="30" customHeight="1">
      <x:c r="A2" s="55" t="inlineStr">
        <x:is>
          <x:t xml:space="preserve">Cambiar una entrada azul recalcula la trayectoria determinista. Monte Carlo requiere volver a ejecutar Python.</x:t>
        </x:is>
      </x:c>
    </x:row>
    <x:row r="3"/>
    <x:row r="4">
      <x:c r="A4" s="64" t="inlineStr">
        <x:is>
          <x:t xml:space="preserve">Clave</x:t>
        </x:is>
      </x:c>
      <x:c r="B4" s="65" t="inlineStr">
        <x:is>
          <x:t xml:space="preserve">Valor</x:t>
        </x:is>
      </x:c>
      <x:c r="C4" s="65" t="inlineStr">
        <x:is>
          <x:t xml:space="preserve">Unidad</x:t>
        </x:is>
      </x:c>
      <x:c r="D4" s="66" t="inlineStr">
        <x:is>
          <x:t xml:space="preserve">Naturaleza / observación</x:t>
        </x:is>
      </x:c>
      <x:c r="F4" s="284" t="str">
        <x:v>Las entradas son hipótesis o reglas, no resultados empíricos. El 3,58 % es retorno bruto de cartera base, sin crisis y antes de costes. El Monte Carlo incorpora además el desplazamiento medio del régimen de crisis. Ninguna de las dos magnitudes valida pasivos actuariales, transición fiscal, impacto de mercado o equilibrio general.</x:v>
      </x:c>
      <x:c r="G4" s="69" t="n"/>
      <x:c r="H4" s="69" t="n"/>
      <x:c r="I4" s="285" t="n"/>
    </x:row>
    <x:row r="5">
      <x:c r="A5" s="67" t="inlineStr">
        <x:is>
          <x:t xml:space="preserve">anio_inicial</x:t>
        </x:is>
      </x:c>
      <x:c r="B5" s="108" t="n">
        <x:v>2026</x:v>
      </x:c>
      <x:c r="C5" s="67" t="inlineStr">
        <x:is>
          <x:t xml:space="preserve">año</x:t>
        </x:is>
      </x:c>
      <x:c r="D5" s="67" t="inlineStr">
        <x:is>
          <x:t xml:space="preserve">Convención temporal</x:t>
        </x:is>
      </x:c>
      <x:c r="F5" s="286" t="n"/>
      <x:c r="I5" s="287" t="n"/>
    </x:row>
    <x:row r="6">
      <x:c r="A6" s="68" t="inlineStr">
        <x:is>
          <x:t xml:space="preserve">anio_final</x:t>
        </x:is>
      </x:c>
      <x:c r="B6" s="109" t="n">
        <x:v>2065</x:v>
      </x:c>
      <x:c r="C6" s="68" t="inlineStr">
        <x:is>
          <x:t xml:space="preserve">año</x:t>
        </x:is>
      </x:c>
      <x:c r="D6" s="68" t="inlineStr">
        <x:is>
          <x:t xml:space="preserve">Convención temporal</x:t>
        </x:is>
      </x:c>
      <x:c r="F6" s="286" t="n"/>
      <x:c r="I6" s="287" t="n"/>
    </x:row>
    <x:row r="7">
      <x:c r="A7" s="68" t="inlineStr">
        <x:is>
          <x:t xml:space="preserve">masa_cotizaciones_mill_eur</x:t>
        </x:is>
      </x:c>
      <x:c r="B7" s="293" t="n">
        <x:v>2200000</x:v>
      </x:c>
      <x:c r="C7" s="68" t="inlineStr">
        <x:is>
          <x:t xml:space="preserve">M€ reales</x:t>
        </x:is>
      </x:c>
      <x:c r="D7" s="68" t="inlineStr">
        <x:is>
          <x:t xml:space="preserve">Base estilizada; requiere estimación jurídica y fiscal</x:t>
        </x:is>
      </x:c>
      <x:c r="F7" s="286" t="n"/>
      <x:c r="I7" s="287" t="n"/>
    </x:row>
    <x:row r="8">
      <x:c r="A8" s="68" t="inlineStr">
        <x:is>
          <x:t xml:space="preserve">estados_referencia</x:t>
        </x:is>
      </x:c>
      <x:c r="B8" s="109" t="n">
        <x:v>12</x:v>
      </x:c>
      <x:c r="C8" s="68" t="inlineStr">
        <x:is>
          <x:t xml:space="preserve">número</x:t>
        </x:is>
      </x:c>
      <x:c r="D8" s="68" t="inlineStr">
        <x:is>
          <x:t xml:space="preserve">Normalizador</x:t>
        </x:is>
      </x:c>
      <x:c r="F8" s="288" t="n"/>
      <x:c r="G8" s="67" t="n"/>
      <x:c r="H8" s="67" t="n"/>
      <x:c r="I8" s="289" t="n"/>
    </x:row>
    <x:row r="9">
      <x:c r="A9" s="68" t="inlineStr">
        <x:is>
          <x:t xml:space="preserve">estados_participantes</x:t>
        </x:is>
      </x:c>
      <x:c r="B9" s="109" t="n">
        <x:v>12</x:v>
      </x:c>
      <x:c r="C9" s="68" t="inlineStr">
        <x:is>
          <x:t xml:space="preserve">número</x:t>
        </x:is>
      </x:c>
      <x:c r="D9" s="68" t="inlineStr">
        <x:is>
          <x:t xml:space="preserve">Hipótesis de escenario</x:t>
        </x:is>
      </x:c>
    </x:row>
    <x:row r="10">
      <x:c r="A10" s="68" t="inlineStr">
        <x:is>
          <x:t xml:space="preserve">crecimiento_real_aportaciones</x:t>
        </x:is>
      </x:c>
      <x:c r="B10" s="294" t="n">
        <x:v>0.008</x:v>
      </x:c>
      <x:c r="C10" s="68" t="inlineStr">
        <x:is>
          <x:t xml:space="preserve">% anual</x:t>
        </x:is>
      </x:c>
      <x:c r="D10" s="68" t="inlineStr">
        <x:is>
          <x:t xml:space="preserve">Hipótesis</x:t>
        </x:is>
      </x:c>
    </x:row>
    <x:row r="11">
      <x:c r="A11" s="68" t="inlineStr">
        <x:is>
          <x:t xml:space="preserve">coste_administracion</x:t>
        </x:is>
      </x:c>
      <x:c r="B11" s="294" t="n">
        <x:v>0.0018</x:v>
      </x:c>
      <x:c r="C11" s="68" t="inlineStr">
        <x:is>
          <x:t xml:space="preserve">% patrimonio</x:t>
        </x:is>
      </x:c>
      <x:c r="D11" s="68" t="inlineStr">
        <x:is>
          <x:t xml:space="preserve">Hipótesis</x:t>
        </x:is>
      </x:c>
    </x:row>
    <x:row r="12">
      <x:c r="A12" s="68" t="inlineStr">
        <x:is>
          <x:t xml:space="preserve">carencia_anios</x:t>
        </x:is>
      </x:c>
      <x:c r="B12" s="109" t="n">
        <x:v>18</x:v>
      </x:c>
      <x:c r="C12" s="68" t="inlineStr">
        <x:is>
          <x:t xml:space="preserve">años</x:t>
        </x:is>
      </x:c>
      <x:c r="D12" s="68" t="inlineStr">
        <x:is>
          <x:t xml:space="preserve">Regla propuesta</x:t>
        </x:is>
      </x:c>
    </x:row>
    <x:row r="13">
      <x:c r="A13" s="68" t="inlineStr">
        <x:is>
          <x:t xml:space="preserve">tasa_distribucion_objetivo</x:t>
        </x:is>
      </x:c>
      <x:c r="B13" s="294" t="n">
        <x:v>0.015</x:v>
      </x:c>
      <x:c r="C13" s="68" t="inlineStr">
        <x:is>
          <x:t xml:space="preserve">% NAV suavizado</x:t>
        </x:is>
      </x:c>
      <x:c r="D13" s="68" t="inlineStr">
        <x:is>
          <x:t xml:space="preserve">Regla propuesta; puede suspenderse</x:t>
        </x:is>
      </x:c>
    </x:row>
    <x:row r="14">
      <x:c r="A14" s="68" t="inlineStr">
        <x:is>
          <x:t xml:space="preserve">ventana_suavizado</x:t>
        </x:is>
      </x:c>
      <x:c r="B14" s="109" t="n">
        <x:v>5</x:v>
      </x:c>
      <x:c r="C14" s="68" t="inlineStr">
        <x:is>
          <x:t xml:space="preserve">años</x:t>
        </x:is>
      </x:c>
      <x:c r="D14" s="68" t="inlineStr">
        <x:is>
          <x:t xml:space="preserve">Regla propuesta</x:t>
        </x:is>
      </x:c>
    </x:row>
    <x:row r="15">
      <x:c r="A15" s="68" t="inlineStr">
        <x:is>
          <x:t xml:space="preserve">suelo_preservacion</x:t>
        </x:is>
      </x:c>
      <x:c r="B15" s="294" t="n">
        <x:v>0.9</x:v>
      </x:c>
      <x:c r="C15" s="68" t="inlineStr">
        <x:is>
          <x:t xml:space="preserve">% aport. netas</x:t>
        </x:is>
      </x:c>
      <x:c r="D15" s="68" t="inlineStr">
        <x:is>
          <x:t xml:space="preserve">Regla propuesta</x:t>
        </x:is>
      </x:c>
    </x:row>
    <x:row r="16">
      <x:c r="A16" s="68" t="inlineStr">
        <x:is>
          <x:t xml:space="preserve">peso_renta_variable</x:t>
        </x:is>
      </x:c>
      <x:c r="B16" s="294" t="n">
        <x:v>0.65</x:v>
      </x:c>
      <x:c r="C16" s="68" t="inlineStr">
        <x:is>
          <x:t xml:space="preserve">% cartera</x:t>
        </x:is>
      </x:c>
      <x:c r="D16" s="68" t="inlineStr">
        <x:is>
          <x:t xml:space="preserve">Hipótesis de asignación</x:t>
        </x:is>
      </x:c>
    </x:row>
    <x:row r="17">
      <x:c r="A17" s="68" t="inlineStr">
        <x:is>
          <x:t xml:space="preserve">peso_bonos</x:t>
        </x:is>
      </x:c>
      <x:c r="B17" s="294" t="n">
        <x:v>0.25</x:v>
      </x:c>
      <x:c r="C17" s="68" t="inlineStr">
        <x:is>
          <x:t xml:space="preserve">% cartera</x:t>
        </x:is>
      </x:c>
      <x:c r="D17" s="68" t="inlineStr">
        <x:is>
          <x:t xml:space="preserve">Hipótesis de asignación</x:t>
        </x:is>
      </x:c>
    </x:row>
    <x:row r="18">
      <x:c r="A18" s="68" t="inlineStr">
        <x:is>
          <x:t xml:space="preserve">peso_liquidez</x:t>
        </x:is>
      </x:c>
      <x:c r="B18" s="294" t="n">
        <x:v>0.1</x:v>
      </x:c>
      <x:c r="C18" s="68" t="inlineStr">
        <x:is>
          <x:t xml:space="preserve">% cartera</x:t>
        </x:is>
      </x:c>
      <x:c r="D18" s="68" t="inlineStr">
        <x:is>
          <x:t xml:space="preserve">Hipótesis de asignación</x:t>
        </x:is>
      </x:c>
    </x:row>
    <x:row r="19">
      <x:c r="A19" s="68" t="inlineStr">
        <x:is>
          <x:t xml:space="preserve">retorno_real_rv</x:t>
        </x:is>
      </x:c>
      <x:c r="B19" s="294" t="n">
        <x:v>0.05</x:v>
      </x:c>
      <x:c r="C19" s="68" t="inlineStr">
        <x:is>
          <x:t xml:space="preserve">% anual</x:t>
        </x:is>
      </x:c>
      <x:c r="D19" s="68" t="inlineStr">
        <x:is>
          <x:t xml:space="preserve">Hipótesis condicional</x:t>
        </x:is>
      </x:c>
    </x:row>
    <x:row r="20">
      <x:c r="A20" s="68" t="inlineStr">
        <x:is>
          <x:t xml:space="preserve">retorno_real_bonos</x:t>
        </x:is>
      </x:c>
      <x:c r="B20" s="294" t="n">
        <x:v>0.012</x:v>
      </x:c>
      <x:c r="C20" s="68" t="inlineStr">
        <x:is>
          <x:t xml:space="preserve">% anual</x:t>
        </x:is>
      </x:c>
      <x:c r="D20" s="68" t="inlineStr">
        <x:is>
          <x:t xml:space="preserve">Hipótesis condicional</x:t>
        </x:is>
      </x:c>
    </x:row>
    <x:row r="21">
      <x:c r="A21" s="68" t="inlineStr">
        <x:is>
          <x:t xml:space="preserve">retorno_real_liquidez</x:t>
        </x:is>
      </x:c>
      <x:c r="B21" s="294" t="n">
        <x:v>0.003</x:v>
      </x:c>
      <x:c r="C21" s="68" t="inlineStr">
        <x:is>
          <x:t xml:space="preserve">% anual</x:t>
        </x:is>
      </x:c>
      <x:c r="D21" s="68" t="inlineStr">
        <x:is>
          <x:t xml:space="preserve">Hipótesis condicional</x:t>
        </x:is>
      </x:c>
    </x:row>
    <x:row r="22">
      <x:c r="A22" s="68" t="inlineStr">
        <x:is>
          <x:t xml:space="preserve">semilla</x:t>
        </x:is>
      </x:c>
      <x:c r="B22" s="109" t="n">
        <x:v>2026</x:v>
      </x:c>
      <x:c r="C22" s="68" t="inlineStr">
        <x:is>
          <x:t xml:space="preserve">entero</x:t>
        </x:is>
      </x:c>
      <x:c r="D22" s="68" t="inlineStr">
        <x:is>
          <x:t xml:space="preserve">Reproducibilidad Monte Carlo</x:t>
        </x:is>
      </x:c>
    </x:row>
    <x:row r="23">
      <x:c r="A23" s="69" t="inlineStr">
        <x:is>
          <x:t xml:space="preserve">simulaciones</x:t>
        </x:is>
      </x:c>
      <x:c r="B23" s="110" t="n">
        <x:v>100000</x:v>
      </x:c>
      <x:c r="C23" s="69" t="inlineStr">
        <x:is>
          <x:t xml:space="preserve">trayectorias</x:t>
        </x:is>
      </x:c>
      <x:c r="D23" s="69" t="inlineStr">
        <x:is>
          <x:t xml:space="preserve">Ejecución canónica</x:t>
        </x:is>
      </x:c>
    </x:row>
    <x:row r="24">
      <x:c r="A24" t="str">
        <x:v>vol_rv</x:v>
      </x:c>
      <x:c r="B24" s="355" t="n">
        <x:v>0.16</x:v>
      </x:c>
      <x:c r="C24" t="str">
        <x:v>% anual</x:v>
      </x:c>
      <x:c r="D24" t="str">
        <x:v>Calibración no estimada</x:v>
      </x:c>
    </x:row>
    <x:row r="25">
      <x:c r="A25" t="str">
        <x:v>vol_bonos</x:v>
      </x:c>
      <x:c r="B25" s="355" t="n">
        <x:v>0.05</x:v>
      </x:c>
      <x:c r="C25" t="str">
        <x:v>% anual</x:v>
      </x:c>
      <x:c r="D25" t="str">
        <x:v>Calibración no estimada</x:v>
      </x:c>
    </x:row>
    <x:row r="26">
      <x:c r="A26" t="str">
        <x:v>vol_liquidez</x:v>
      </x:c>
      <x:c r="B26" s="355" t="n">
        <x:v>0.01</x:v>
      </x:c>
      <x:c r="C26" t="str">
        <x:v>% anual</x:v>
      </x:c>
      <x:c r="D26" t="str">
        <x:v>Calibración no estimada</x:v>
      </x:c>
    </x:row>
    <x:row r="27">
      <x:c r="A27" t="str">
        <x:v>correlacion_rv_bonos</x:v>
      </x:c>
      <x:c r="B27" s="356" t="n">
        <x:v>-0.1</x:v>
      </x:c>
      <x:c r="C27" t="str">
        <x:v>correlación</x:v>
      </x:c>
      <x:c r="D27" t="str">
        <x:v>Calibración no estimada</x:v>
      </x:c>
    </x:row>
    <x:row r="28">
      <x:c r="A28" t="str">
        <x:v>correlacion_rv_liquidez</x:v>
      </x:c>
      <x:c r="B28" s="356" t="n">
        <x:v>0.05</x:v>
      </x:c>
      <x:c r="C28" t="str">
        <x:v>correlación</x:v>
      </x:c>
      <x:c r="D28" t="str">
        <x:v>Calibración no estimada</x:v>
      </x:c>
    </x:row>
    <x:row r="29">
      <x:c r="A29" t="str">
        <x:v>correlacion_bonos_liquidez</x:v>
      </x:c>
      <x:c r="B29" s="356" t="n">
        <x:v>0.2</x:v>
      </x:c>
      <x:c r="C29" t="str">
        <x:v>correlación</x:v>
      </x:c>
      <x:c r="D29" t="str">
        <x:v>Calibración no estimada</x:v>
      </x:c>
    </x:row>
    <x:row r="30">
      <x:c r="A30" t="str">
        <x:v>vol_crecimiento_aportaciones</x:v>
      </x:c>
      <x:c r="B30" s="356" t="n">
        <x:v>0.01</x:v>
      </x:c>
      <x:c r="C30" t="str">
        <x:v>% anual</x:v>
      </x:c>
      <x:c r="D30" t="str">
        <x:v>Calibración no estimada</x:v>
      </x:c>
    </x:row>
    <x:row r="31">
      <x:c r="A31" t="str">
        <x:v>correlacion_mercado_aportaciones</x:v>
      </x:c>
      <x:c r="B31" s="356" t="n">
        <x:v>0.25</x:v>
      </x:c>
      <x:c r="C31" t="str">
        <x:v>correlación</x:v>
      </x:c>
      <x:c r="D31" t="str">
        <x:v>Calibración no estimada</x:v>
      </x:c>
    </x:row>
    <x:row r="32">
      <x:c r="A32" t="str">
        <x:v>grados_libertad_t</x:v>
      </x:c>
      <x:c r="B32" s="357" t="n">
        <x:v>6</x:v>
      </x:c>
      <x:c r="C32" t="str">
        <x:v>grados</x:v>
      </x:c>
      <x:c r="D32" t="str">
        <x:v>Elección distributiva no estimada</x:v>
      </x:c>
    </x:row>
    <x:row r="33">
      <x:c r="A33" t="str">
        <x:v>probabilidad_crisis_anual</x:v>
      </x:c>
      <x:c r="B33" s="355" t="n">
        <x:v>0.025</x:v>
      </x:c>
      <x:c r="C33" t="str">
        <x:v>% anual</x:v>
      </x:c>
      <x:c r="D33" t="str">
        <x:v>Calibración diagnóstica</x:v>
      </x:c>
    </x:row>
    <x:row r="34">
      <x:c r="A34" t="str">
        <x:v>choque_crisis_rv</x:v>
      </x:c>
      <x:c r="B34" s="355" t="n">
        <x:v>-0.22</x:v>
      </x:c>
      <x:c r="C34" t="str">
        <x:v>pp aditivos</x:v>
      </x:c>
      <x:c r="D34" t="str">
        <x:v>Calibración diagnóstica</x:v>
      </x:c>
    </x:row>
    <x:row r="35">
      <x:c r="A35" t="str">
        <x:v>choque_crisis_bonos</x:v>
      </x:c>
      <x:c r="B35" s="355" t="n">
        <x:v>-0.035</x:v>
      </x:c>
      <x:c r="C35" t="str">
        <x:v>pp aditivos</x:v>
      </x:c>
      <x:c r="D35" t="str">
        <x:v>Calibración diagnóstica</x:v>
      </x:c>
    </x:row>
    <x:row r="36">
      <x:c r="A36" t="str">
        <x:v>choque_crisis_aportaciones</x:v>
      </x:c>
      <x:c r="B36" s="355" t="n">
        <x:v>-0.025</x:v>
      </x:c>
      <x:c r="C36" t="str">
        <x:v>pp aditivos</x:v>
      </x:c>
      <x:c r="D36" t="str">
        <x:v>Calibración diagnóstica</x:v>
      </x:c>
    </x:row>
    <x:row r="38">
      <x:c r="A38" t="str">
        <x:v>retorno_real_cartera_base</x:v>
      </x:c>
      <x:c r="B38" s="358" t="n">
        <x:f>'Parámetros'!$B$16*'Parámetros'!$B$19+'Parámetros'!$B$17*'Parámetros'!$B$20+'Parámetros'!$B$18*'Parámetros'!$B$21</x:f>
        <x:v>0.035800000000000005</x:v>
      </x:c>
      <x:c r="C38" t="str">
        <x:v>% anual</x:v>
      </x:c>
      <x:c r="D38" t="str">
        <x:v>Derivado: retorno base sin crisis</x:v>
      </x:c>
    </x:row>
    <x:row r="39">
      <x:c r="A39" t="str">
        <x:v>ajuste_medio_crisis_cartera</x:v>
      </x:c>
      <x:c r="B39" s="358" t="n">
        <x:f>'Parámetros'!$B$33*('Parámetros'!$B$16*'Parámetros'!$B$34+'Parámetros'!$B$17*'Parámetros'!$B$35)</x:f>
        <x:v>-0.0037937500000000007</x:v>
      </x:c>
      <x:c r="C39" t="str">
        <x:v>pp anuales</x:v>
      </x:c>
      <x:c r="D39" t="str">
        <x:v>Derivado: desplazamiento medio por crisis</x:v>
      </x:c>
    </x:row>
    <x:row r="40">
      <x:c r="A40" t="str">
        <x:v>retorno_real_medio_incondicional_mc</x:v>
      </x:c>
      <x:c r="B40" s="358" t="n">
        <x:f>'Parámetros'!$B$38+'Parámetros'!$B$39</x:f>
        <x:v>0.03200625000000001</x:v>
      </x:c>
      <x:c r="C40" t="str">
        <x:v>% anual</x:v>
      </x:c>
      <x:c r="D40" t="str">
        <x:v>Derivado aproximado antes del truncamiento</x:v>
      </x:c>
    </x:row>
    <x:row r="41">
      <x:c r="A41" t="str">
        <x:v>crecimiento_aportaciones_medio_incondicional_mc</x:v>
      </x:c>
      <x:c r="B41" s="358" t="n">
        <x:f>'Parámetros'!$B$10+'Parámetros'!$B$33*'Parámetros'!$B$36</x:f>
        <x:v>0.007375</x:v>
      </x:c>
      <x:c r="C41" t="str">
        <x:v>% anual</x:v>
      </x:c>
      <x:c r="D41" t="str">
        <x:v>Derivado aproximado antes del truncamiento</x:v>
      </x:c>
    </x:row>
  </x:sheetData>
  <x:mergeCells>
    <x:mergeCell ref="F4:I8"/>
    <x:mergeCell ref="A2:H2"/>
    <x:mergeCell ref="A1:H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6" customWidth="1"/>
    <x:col min="2" max="2" width="18" customWidth="1"/>
    <x:col min="3" max="3" width="18" customWidth="1"/>
    <x:col min="4" max="4" width="38" customWidth="1"/>
  </x:cols>
  <x:sheetData>
    <x:row r="1" ht="34" customHeight="1">
      <x:c r="A1" s="52" t="inlineStr">
        <x:is>
          <x:t xml:space="preserve">Senda contributiva estatutaria</x:t>
        </x:is>
      </x:c>
    </x:row>
    <x:row r="2" ht="30" customHeight="1">
      <x:c r="A2" s="55" t="inlineStr">
        <x:is>
          <x:t xml:space="preserve">Fracciones aplicadas a la masa anual normalizada de cotizaciones.</x:t>
        </x:is>
      </x:c>
    </x:row>
    <x:row r="3"/>
    <x:row r="4">
      <x:c r="A4" s="64" t="inlineStr">
        <x:is>
          <x:t xml:space="preserve">Tramo</x:t>
        </x:is>
      </x:c>
      <x:c r="B4" s="65" t="inlineStr">
        <x:is>
          <x:t xml:space="preserve">Ejercicio final</x:t>
        </x:is>
      </x:c>
      <x:c r="C4" s="65" t="inlineStr">
        <x:is>
          <x:t xml:space="preserve">Fracción</x:t>
        </x:is>
      </x:c>
      <x:c r="D4" s="66" t="inlineStr">
        <x:is>
          <x:t xml:space="preserve">Interpretación</x:t>
        </x:is>
      </x:c>
    </x:row>
    <x:row r="5">
      <x:c r="A5" s="67" t="inlineStr">
        <x:is>
          <x:t xml:space="preserve">I</x:t>
        </x:is>
      </x:c>
      <x:c r="B5" s="108" t="n">
        <x:v>2</x:v>
      </x:c>
      <x:c r="C5" s="295" t="n">
        <x:v>0.0025</x:v>
      </x:c>
      <x:c r="D5" s="67" t="inlineStr">
        <x:is>
          <x:t xml:space="preserve">Implantación</x:t>
        </x:is>
      </x:c>
    </x:row>
    <x:row r="6">
      <x:c r="A6" s="68" t="inlineStr">
        <x:is>
          <x:t xml:space="preserve">II</x:t>
        </x:is>
      </x:c>
      <x:c r="B6" s="109" t="n">
        <x:v>4</x:v>
      </x:c>
      <x:c r="C6" s="294" t="n">
        <x:v>0.005</x:v>
      </x:c>
      <x:c r="D6" s="68" t="inlineStr">
        <x:is>
          <x:t xml:space="preserve">Escalado inicial</x:t>
        </x:is>
      </x:c>
    </x:row>
    <x:row r="7">
      <x:c r="A7" s="68" t="inlineStr">
        <x:is>
          <x:t xml:space="preserve">III</x:t>
        </x:is>
      </x:c>
      <x:c r="B7" s="109" t="n">
        <x:v>6</x:v>
      </x:c>
      <x:c r="C7" s="294" t="n">
        <x:v>0.0075</x:v>
      </x:c>
      <x:c r="D7" s="68" t="inlineStr">
        <x:is>
          <x:t xml:space="preserve">Escalado intermedio</x:t>
        </x:is>
      </x:c>
    </x:row>
    <x:row r="8">
      <x:c r="A8" s="68" t="inlineStr">
        <x:is>
          <x:t xml:space="preserve">IV</x:t>
        </x:is>
      </x:c>
      <x:c r="B8" s="109" t="n">
        <x:v>9</x:v>
      </x:c>
      <x:c r="C8" s="294" t="n">
        <x:v>0.0125</x:v>
      </x:c>
      <x:c r="D8" s="68" t="inlineStr">
        <x:is>
          <x:t xml:space="preserve">Consolidación</x:t>
        </x:is>
      </x:c>
    </x:row>
    <x:row r="9">
      <x:c r="A9" s="68" t="inlineStr">
        <x:is>
          <x:t xml:space="preserve">V</x:t>
        </x:is>
      </x:c>
      <x:c r="B9" s="109" t="n">
        <x:v>12</x:v>
      </x:c>
      <x:c r="C9" s="294" t="n">
        <x:v>0.0175</x:v>
      </x:c>
      <x:c r="D9" s="68" t="inlineStr">
        <x:is>
          <x:t xml:space="preserve">Transición</x:t>
        </x:is>
      </x:c>
    </x:row>
    <x:row r="10">
      <x:c r="A10" s="69" t="inlineStr">
        <x:is>
          <x:t xml:space="preserve">VI</x:t>
        </x:is>
      </x:c>
      <x:c r="B10" s="110" t="n">
        <x:v>999</x:v>
      </x:c>
      <x:c r="C10" s="296" t="n">
        <x:v>0.025</x:v>
      </x:c>
      <x:c r="D10" s="69" t="inlineStr">
        <x:is>
          <x:t xml:space="preserve">Régimen objetivo</x:t>
        </x:is>
      </x:c>
    </x:row>
    <x:row r="11"/>
    <x:row r="12"/>
    <x:row r="13">
      <x:c r="A13" s="284" t="inlineStr">
        <x:is>
          <x:t xml:space="preserve">La senda es una regla del escenario, no un pronóstico de recaudación ni una evaluación de incidencia. Cambiarla exige revisar la base jurídica, la distribución entre Estados y los efectos macroeconómicos.</x:t>
        </x:is>
      </x:c>
      <x:c r="B13" s="69" t="n"/>
      <x:c r="C13" s="69" t="n"/>
      <x:c r="D13" s="285" t="n"/>
    </x:row>
    <x:row r="14">
      <x:c r="A14" s="286" t="n"/>
      <x:c r="D14" s="287" t="n"/>
    </x:row>
    <x:row r="15">
      <x:c r="A15" s="288" t="n"/>
      <x:c r="B15" s="67" t="n"/>
      <x:c r="C15" s="67" t="n"/>
      <x:c r="D15" s="289" t="n"/>
    </x:row>
  </x:sheetData>
  <x:mergeCells>
    <x:mergeCell ref="A13:D15"/>
    <x:mergeCell ref="A2:H2"/>
    <x:mergeCell ref="A1:H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0" customWidth="1"/>
    <x:col min="2" max="2" width="7" customWidth="1"/>
    <x:col min="3" max="3" width="16" customWidth="1"/>
    <x:col min="4" max="4" width="12" customWidth="1"/>
    <x:col min="5" max="5" width="18" customWidth="1"/>
    <x:col min="6" max="6" width="17" customWidth="1"/>
    <x:col min="7" max="7" width="16" customWidth="1"/>
    <x:col min="8" max="8" width="16" customWidth="1"/>
    <x:col min="9" max="9" width="15" customWidth="1"/>
    <x:col min="10" max="10" width="18" customWidth="1"/>
    <x:col min="11" max="11" width="14" customWidth="1"/>
    <x:col min="12" max="12" width="16" customWidth="1"/>
    <x:col min="13" max="13" width="17" customWidth="1"/>
    <x:col min="14" max="14" width="18" customWidth="1"/>
    <x:col min="15" max="15" width="18" customWidth="1"/>
    <x:col min="16" max="16" width="18" customWidth="1"/>
    <x:col min="17" max="17" width="18" customWidth="1"/>
    <x:col min="18" max="18" width="18" customWidth="1"/>
    <x:col min="19" max="19" width="12" customWidth="1"/>
    <x:col min="20" max="20" width="16" customWidth="1"/>
    <x:col min="21" max="21" width="15" customWidth="1"/>
    <x:col min="22" max="22" width="15" customWidth="1"/>
    <x:col min="23" max="23" width="15" customWidth="1"/>
    <x:col min="24" max="24" width="14" customWidth="1"/>
  </x:cols>
  <x:sheetData>
    <x:row r="1" ht="34" customHeight="1">
      <x:c r="A1" s="52" t="inlineStr">
        <x:is>
          <x:t xml:space="preserve">Trayectoria determinista central</x:t>
        </x:is>
      </x:c>
    </x:row>
    <x:row r="2" ht="30" customHeight="1">
      <x:c r="A2" s="55" t="inlineStr">
        <x:is>
          <x:t xml:space="preserve">Todas las columnas derivadas son fórmulas auditables. Unidades: millones de euros reales salvo indicación.</x:t>
        </x:is>
      </x:c>
    </x:row>
    <x:row r="3"/>
    <x:row r="4">
      <x:c r="A4" s="64" t="inlineStr">
        <x:is>
          <x:t xml:space="preserve">Año</x:t>
        </x:is>
      </x:c>
      <x:c r="B4" s="65" t="inlineStr">
        <x:is>
          <x:t xml:space="preserve">Ej.</x:t>
        </x:is>
      </x:c>
      <x:c r="C4" s="65" t="inlineStr">
        <x:is>
          <x:t xml:space="preserve">Fase</x:t>
        </x:is>
      </x:c>
      <x:c r="D4" s="65" t="inlineStr">
        <x:is>
          <x:t xml:space="preserve">Fracción</x:t>
        </x:is>
      </x:c>
      <x:c r="E4" s="65" t="inlineStr">
        <x:is>
          <x:t xml:space="preserve">Patrimonio inicial</x:t>
        </x:is>
      </x:c>
      <x:c r="F4" s="65" t="inlineStr">
        <x:is>
          <x:t xml:space="preserve">Base aportación</x:t>
        </x:is>
      </x:c>
      <x:c r="G4" s="65" t="inlineStr">
        <x:is>
          <x:t xml:space="preserve">Factor crecimiento</x:t>
        </x:is>
      </x:c>
      <x:c r="H4" s="65" t="inlineStr">
        <x:is>
          <x:t xml:space="preserve">Aportación</x:t>
        </x:is>
      </x:c>
      <x:c r="I4" s="65" t="inlineStr">
        <x:is>
          <x:t xml:space="preserve">Retorno cartera</x:t>
        </x:is>
      </x:c>
      <x:c r="J4" s="65" t="inlineStr">
        <x:is>
          <x:t xml:space="preserve">Rendimiento bruto</x:t>
        </x:is>
      </x:c>
      <x:c r="K4" s="65" t="inlineStr">
        <x:is>
          <x:t xml:space="preserve">Costes</x:t>
        </x:is>
      </x:c>
      <x:c r="L4" s="65" t="inlineStr">
        <x:is>
          <x:t xml:space="preserve">NAV suavizado</x:t>
        </x:is>
      </x:c>
      <x:c r="M4" s="65" t="inlineStr">
        <x:is>
          <x:t xml:space="preserve">Suelo preservación</x:t>
        </x:is>
      </x:c>
      <x:c r="N4" s="65" t="inlineStr">
        <x:is>
          <x:t xml:space="preserve">Distribución objetivo</x:t>
        </x:is>
      </x:c>
      <x:c r="O4" s="65" t="inlineStr">
        <x:is>
          <x:t xml:space="preserve">Distribución efectiva</x:t>
        </x:is>
      </x:c>
      <x:c r="P4" s="65" t="inlineStr">
        <x:is>
          <x:t xml:space="preserve">Patrimonio final</x:t>
        </x:is>
      </x:c>
      <x:c r="Q4" s="65" t="inlineStr">
        <x:is>
          <x:t xml:space="preserve">Aport. acumuladas</x:t>
        </x:is>
      </x:c>
      <x:c r="R4" s="65" t="inlineStr">
        <x:is>
          <x:t xml:space="preserve">Distrib. acumuladas</x:t>
        </x:is>
      </x:c>
      <x:c r="S4" s="65" t="inlineStr">
        <x:is>
          <x:t xml:space="preserve">Suspendida</x:t>
        </x:is>
      </x:c>
      <x:c r="T4" s="65" t="inlineStr">
        <x:is>
          <x:t xml:space="preserve">UCA previas</x:t>
        </x:is>
      </x:c>
      <x:c r="U4" s="65" t="inlineStr">
        <x:is>
          <x:t xml:space="preserve">NAV emisión</x:t>
        </x:is>
      </x:c>
      <x:c r="V4" s="65" t="inlineStr">
        <x:is>
          <x:t xml:space="preserve">UCA nuevas</x:t>
        </x:is>
      </x:c>
      <x:c r="W4" s="65" t="inlineStr">
        <x:is>
          <x:t xml:space="preserve">UCA finales</x:t>
        </x:is>
      </x:c>
      <x:c r="X4" s="66" t="inlineStr">
        <x:is>
          <x:t xml:space="preserve">NAV/UCA</x:t>
        </x:is>
      </x:c>
    </x:row>
    <x:row r="5">
      <x:c r="A5" s="135" t="n">
        <x:f>'Parámetros'!$B5</x:f>
        <x:v>2026</x:v>
      </x:c>
      <x:c r="B5" s="135" t="n">
        <x:f>A5-'Parámetros'!$B5+1</x:f>
        <x:v>1</x:v>
      </x:c>
      <x:c r="C5" s="135" t="str">
        <x:f>IF(B5&lt;='Parámetros'!$B12,"Acumulación","Maduración")</x:f>
        <x:v>Acumulación</x:v>
      </x:c>
      <x:c r="D5" s="297" t="n">
        <x:f>IF(B5&lt;='Senda estatutaria'!$B$5,'Senda estatutaria'!$C$5,IF(B5&lt;='Senda estatutaria'!$B$6,'Senda estatutaria'!$C$6,IF(B5&lt;='Senda estatutaria'!$B$7,'Senda estatutaria'!$C$7,IF(B5&lt;='Senda estatutaria'!$B$8,'Senda estatutaria'!$C$8,IF(B5&lt;='Senda estatutaria'!$B$9,'Senda estatutaria'!$C$9,'Senda estatutaria'!$C$10)))))</x:f>
        <x:v>0.0025</x:v>
      </x:c>
      <x:c r="E5" s="298" t="n">
        <x:f>0</x:f>
        <x:v>0</x:v>
      </x:c>
      <x:c r="F5" s="298" t="n">
        <x:f>'Parámetros'!$B7*'Parámetros'!$B9/'Parámetros'!$B8</x:f>
        <x:v>2200000</x:v>
      </x:c>
      <x:c r="G5" s="298" t="n">
        <x:f>(1+'Parámetros'!$B10)^(B5-1)</x:f>
        <x:v>1</x:v>
      </x:c>
      <x:c r="H5" s="298" t="n">
        <x:f>F5*D5*G5</x:f>
        <x:v>5500</x:v>
      </x:c>
      <x:c r="I5" s="298" t="n">
        <x:f>'Parámetros'!$B16*'Parámetros'!$B19+'Parámetros'!$B17*'Parámetros'!$B20+'Parámetros'!$B18*'Parámetros'!$B21</x:f>
        <x:v>0.035800000000000005</x:v>
      </x:c>
      <x:c r="J5" s="298" t="n">
        <x:f>E5*I5</x:f>
        <x:v>0</x:v>
      </x:c>
      <x:c r="K5" s="298" t="n">
        <x:f>E5*'Parámetros'!$B11</x:f>
        <x:v>0</x:v>
      </x:c>
      <x:c r="L5" s="298" t="n">
        <x:f>AVERAGE(E5:E5)</x:f>
        <x:v>0</x:v>
      </x:c>
      <x:c r="M5" s="298" t="n">
        <x:f>0</x:f>
        <x:v>0</x:v>
      </x:c>
      <x:c r="N5" s="298" t="n">
        <x:f>IF(B5&lt;='Parámetros'!$B12,0,'Parámetros'!$B13*L5)</x:f>
        <x:v>0</x:v>
      </x:c>
      <x:c r="O5" s="298" t="n">
        <x:f>MIN(N5,MAX(0,E5+J5-K5-M5))</x:f>
        <x:v>0</x:v>
      </x:c>
      <x:c r="P5" s="299" t="n">
        <x:f>MAX(0,E5+J5-K5)-O5+H5</x:f>
        <x:v>5500</x:v>
      </x:c>
      <x:c r="Q5" s="298" t="n">
        <x:f>H5</x:f>
        <x:v>5500</x:v>
      </x:c>
      <x:c r="R5" s="298" t="n">
        <x:f>O5</x:f>
        <x:v>0</x:v>
      </x:c>
      <x:c r="S5" s="123" t="b">
        <x:f>O5&lt;N5</x:f>
        <x:v>0</x:v>
      </x:c>
      <x:c r="T5" s="300" t="n">
        <x:f>0</x:f>
        <x:v>0</x:v>
      </x:c>
      <x:c r="U5" s="300" t="n">
        <x:f>IF(T5&lt;=0,1,(MAX(0,E5+J5-K5)-O5)/T5)</x:f>
        <x:v>1</x:v>
      </x:c>
      <x:c r="V5" s="300" t="n">
        <x:f>IF(U5&gt;0,H5/U5,0)</x:f>
        <x:v>5500</x:v>
      </x:c>
      <x:c r="W5" s="300" t="n">
        <x:f>T5+V5</x:f>
        <x:v>5500</x:v>
      </x:c>
      <x:c r="X5" s="300" t="n">
        <x:f>IF(W5&gt;0,P5/W5,1)</x:f>
        <x:v>1</x:v>
      </x:c>
    </x:row>
    <x:row r="6">
      <x:c r="A6" s="137" t="n">
        <x:f>A5+1</x:f>
        <x:v>2027</x:v>
      </x:c>
      <x:c r="B6" s="137" t="n">
        <x:f>A6-'Parámetros'!$B5+1</x:f>
        <x:v>2</x:v>
      </x:c>
      <x:c r="C6" s="137" t="str">
        <x:f>IF(B6&lt;='Parámetros'!$B12,"Acumulación","Maduración")</x:f>
        <x:v>Acumulación</x:v>
      </x:c>
      <x:c r="D6" s="301" t="n">
        <x:f>IF(B6&lt;='Senda estatutaria'!$B$5,'Senda estatutaria'!$C$5,IF(B6&lt;='Senda estatutaria'!$B$6,'Senda estatutaria'!$C$6,IF(B6&lt;='Senda estatutaria'!$B$7,'Senda estatutaria'!$C$7,IF(B6&lt;='Senda estatutaria'!$B$8,'Senda estatutaria'!$C$8,IF(B6&lt;='Senda estatutaria'!$B$9,'Senda estatutaria'!$C$9,'Senda estatutaria'!$C$10)))))</x:f>
        <x:v>0.0025</x:v>
      </x:c>
      <x:c r="E6" s="302" t="n">
        <x:f>P5</x:f>
        <x:v>5500</x:v>
      </x:c>
      <x:c r="F6" s="302" t="n">
        <x:f>'Parámetros'!$B7*'Parámetros'!$B9/'Parámetros'!$B8</x:f>
        <x:v>2200000</x:v>
      </x:c>
      <x:c r="G6" s="302" t="n">
        <x:f>(1+'Parámetros'!$B10)^(B6-1)</x:f>
        <x:v>1.008</x:v>
      </x:c>
      <x:c r="H6" s="302" t="n">
        <x:f>F6*D6*G6</x:f>
        <x:v>5544</x:v>
      </x:c>
      <x:c r="I6" s="302" t="n">
        <x:f>'Parámetros'!$B16*'Parámetros'!$B19+'Parámetros'!$B17*'Parámetros'!$B20+'Parámetros'!$B18*'Parámetros'!$B21</x:f>
        <x:v>0.035800000000000005</x:v>
      </x:c>
      <x:c r="J6" s="302" t="n">
        <x:f>E6*I6</x:f>
        <x:v>196.90000000000003</x:v>
      </x:c>
      <x:c r="K6" s="302" t="n">
        <x:f>E6*'Parámetros'!$B11</x:f>
        <x:v>9.9</x:v>
      </x:c>
      <x:c r="L6" s="302" t="n">
        <x:f>AVERAGE(E5:E6)</x:f>
        <x:v>2750</x:v>
      </x:c>
      <x:c r="M6" s="302" t="n">
        <x:f>'Parámetros'!$B15*MAX(0,Q5-R5)</x:f>
        <x:v>4950</x:v>
      </x:c>
      <x:c r="N6" s="302" t="n">
        <x:f>IF(B6&lt;='Parámetros'!$B12,0,'Parámetros'!$B13*L6)</x:f>
        <x:v>0</x:v>
      </x:c>
      <x:c r="O6" s="302" t="n">
        <x:f>MIN(N6,MAX(0,E6+J6-K6-M6))</x:f>
        <x:v>0</x:v>
      </x:c>
      <x:c r="P6" s="303" t="n">
        <x:f>MAX(0,E6+J6-K6)-O6+H6</x:f>
        <x:v>11231</x:v>
      </x:c>
      <x:c r="Q6" s="302" t="n">
        <x:f>Q5+H6</x:f>
        <x:v>11044</x:v>
      </x:c>
      <x:c r="R6" s="302" t="n">
        <x:f>R5+O6</x:f>
        <x:v>0</x:v>
      </x:c>
      <x:c r="S6" s="127" t="b">
        <x:f>O6&lt;N6</x:f>
        <x:v>0</x:v>
      </x:c>
      <x:c r="T6" s="304" t="n">
        <x:f>W5</x:f>
        <x:v>5500</x:v>
      </x:c>
      <x:c r="U6" s="304" t="n">
        <x:f>IF(T6&lt;=0,1,(MAX(0,E6+J6-K6)-O6)/T6)</x:f>
        <x:v>1.034</x:v>
      </x:c>
      <x:c r="V6" s="304" t="n">
        <x:f>IF(U6&gt;0,H6/U6,0)</x:f>
        <x:v>5361.702127659574</x:v>
      </x:c>
      <x:c r="W6" s="304" t="n">
        <x:f>T6+V6</x:f>
        <x:v>10861.702127659573</x:v>
      </x:c>
      <x:c r="X6" s="304" t="n">
        <x:f>IF(W6&gt;0,P6/W6,1)</x:f>
        <x:v>1.034</x:v>
      </x:c>
    </x:row>
    <x:row r="7">
      <x:c r="A7" s="137" t="n">
        <x:f>A6+1</x:f>
        <x:v>2028</x:v>
      </x:c>
      <x:c r="B7" s="137" t="n">
        <x:f>A7-'Parámetros'!$B5+1</x:f>
        <x:v>3</x:v>
      </x:c>
      <x:c r="C7" s="137" t="str">
        <x:f>IF(B7&lt;='Parámetros'!$B12,"Acumulación","Maduración")</x:f>
        <x:v>Acumulación</x:v>
      </x:c>
      <x:c r="D7" s="301" t="n">
        <x:f>IF(B7&lt;='Senda estatutaria'!$B$5,'Senda estatutaria'!$C$5,IF(B7&lt;='Senda estatutaria'!$B$6,'Senda estatutaria'!$C$6,IF(B7&lt;='Senda estatutaria'!$B$7,'Senda estatutaria'!$C$7,IF(B7&lt;='Senda estatutaria'!$B$8,'Senda estatutaria'!$C$8,IF(B7&lt;='Senda estatutaria'!$B$9,'Senda estatutaria'!$C$9,'Senda estatutaria'!$C$10)))))</x:f>
        <x:v>0.005</x:v>
      </x:c>
      <x:c r="E7" s="302" t="n">
        <x:f>P6</x:f>
        <x:v>11231</x:v>
      </x:c>
      <x:c r="F7" s="302" t="n">
        <x:f>'Parámetros'!$B7*'Parámetros'!$B9/'Parámetros'!$B8</x:f>
        <x:v>2200000</x:v>
      </x:c>
      <x:c r="G7" s="302" t="n">
        <x:f>(1+'Parámetros'!$B10)^(B7-1)</x:f>
        <x:v>1.016064</x:v>
      </x:c>
      <x:c r="H7" s="302" t="n">
        <x:f>F7*D7*G7</x:f>
        <x:v>11176.704000000002</x:v>
      </x:c>
      <x:c r="I7" s="302" t="n">
        <x:f>'Parámetros'!$B16*'Parámetros'!$B19+'Parámetros'!$B17*'Parámetros'!$B20+'Parámetros'!$B18*'Parámetros'!$B21</x:f>
        <x:v>0.035800000000000005</x:v>
      </x:c>
      <x:c r="J7" s="302" t="n">
        <x:f>E7*I7</x:f>
        <x:v>402.06980000000004</x:v>
      </x:c>
      <x:c r="K7" s="302" t="n">
        <x:f>E7*'Parámetros'!$B11</x:f>
        <x:v>20.215799999999998</x:v>
      </x:c>
      <x:c r="L7" s="302" t="n">
        <x:f>AVERAGE(E5:E7)</x:f>
        <x:v>5577</x:v>
      </x:c>
      <x:c r="M7" s="302" t="n">
        <x:f>'Parámetros'!$B15*MAX(0,Q6-R6)</x:f>
        <x:v>9939.6</x:v>
      </x:c>
      <x:c r="N7" s="302" t="n">
        <x:f>IF(B7&lt;='Parámetros'!$B12,0,'Parámetros'!$B13*L7)</x:f>
        <x:v>0</x:v>
      </x:c>
      <x:c r="O7" s="302" t="n">
        <x:f>MIN(N7,MAX(0,E7+J7-K7-M7))</x:f>
        <x:v>0</x:v>
      </x:c>
      <x:c r="P7" s="303" t="n">
        <x:f>MAX(0,E7+J7-K7)-O7+H7</x:f>
        <x:v>22789.558</x:v>
      </x:c>
      <x:c r="Q7" s="302" t="n">
        <x:f>Q6+H7</x:f>
        <x:v>22220.704</x:v>
      </x:c>
      <x:c r="R7" s="302" t="n">
        <x:f>R6+O7</x:f>
        <x:v>0</x:v>
      </x:c>
      <x:c r="S7" s="127" t="b">
        <x:f>O7&lt;N7</x:f>
        <x:v>0</x:v>
      </x:c>
      <x:c r="T7" s="304" t="n">
        <x:f>W6</x:f>
        <x:v>10861.702127659573</x:v>
      </x:c>
      <x:c r="U7" s="304" t="n">
        <x:f>IF(T7&lt;=0,1,(MAX(0,E7+J7-K7)-O7)/T7)</x:f>
        <x:v>1.069156</x:v>
      </x:c>
      <x:c r="V7" s="304" t="n">
        <x:f>IF(U7&gt;0,H7/U7,0)</x:f>
        <x:v>10453.76352936335</x:v>
      </x:c>
      <x:c r="W7" s="304" t="n">
        <x:f>T7+V7</x:f>
        <x:v>21315.465657022924</x:v>
      </x:c>
      <x:c r="X7" s="304" t="n">
        <x:f>IF(W7&gt;0,P7/W7,1)</x:f>
        <x:v>1.069156</x:v>
      </x:c>
    </x:row>
    <x:row r="8">
      <x:c r="A8" s="137" t="n">
        <x:f>A7+1</x:f>
        <x:v>2029</x:v>
      </x:c>
      <x:c r="B8" s="137" t="n">
        <x:f>A8-'Parámetros'!$B5+1</x:f>
        <x:v>4</x:v>
      </x:c>
      <x:c r="C8" s="137" t="str">
        <x:f>IF(B8&lt;='Parámetros'!$B12,"Acumulación","Maduración")</x:f>
        <x:v>Acumulación</x:v>
      </x:c>
      <x:c r="D8" s="301" t="n">
        <x:f>IF(B8&lt;='Senda estatutaria'!$B$5,'Senda estatutaria'!$C$5,IF(B8&lt;='Senda estatutaria'!$B$6,'Senda estatutaria'!$C$6,IF(B8&lt;='Senda estatutaria'!$B$7,'Senda estatutaria'!$C$7,IF(B8&lt;='Senda estatutaria'!$B$8,'Senda estatutaria'!$C$8,IF(B8&lt;='Senda estatutaria'!$B$9,'Senda estatutaria'!$C$9,'Senda estatutaria'!$C$10)))))</x:f>
        <x:v>0.005</x:v>
      </x:c>
      <x:c r="E8" s="302" t="n">
        <x:f>P7</x:f>
        <x:v>22789.558</x:v>
      </x:c>
      <x:c r="F8" s="302" t="n">
        <x:f>'Parámetros'!$B7*'Parámetros'!$B9/'Parámetros'!$B8</x:f>
        <x:v>2200000</x:v>
      </x:c>
      <x:c r="G8" s="302" t="n">
        <x:f>(1+'Parámetros'!$B10)^(B8-1)</x:f>
        <x:v>1.024192512</x:v>
      </x:c>
      <x:c r="H8" s="302" t="n">
        <x:f>F8*D8*G8</x:f>
        <x:v>11266.117632</x:v>
      </x:c>
      <x:c r="I8" s="302" t="n">
        <x:f>'Parámetros'!$B16*'Parámetros'!$B19+'Parámetros'!$B17*'Parámetros'!$B20+'Parámetros'!$B18*'Parámetros'!$B21</x:f>
        <x:v>0.035800000000000005</x:v>
      </x:c>
      <x:c r="J8" s="302" t="n">
        <x:f>E8*I8</x:f>
        <x:v>815.8661764000002</x:v>
      </x:c>
      <x:c r="K8" s="302" t="n">
        <x:f>E8*'Parámetros'!$B11</x:f>
        <x:v>41.0212044</x:v>
      </x:c>
      <x:c r="L8" s="302" t="n">
        <x:f>AVERAGE(E5:E8)</x:f>
        <x:v>9880.139500000001</x:v>
      </x:c>
      <x:c r="M8" s="302" t="n">
        <x:f>'Parámetros'!$B15*MAX(0,Q7-R7)</x:f>
        <x:v>19998.6336</x:v>
      </x:c>
      <x:c r="N8" s="302" t="n">
        <x:f>IF(B8&lt;='Parámetros'!$B12,0,'Parámetros'!$B13*L8)</x:f>
        <x:v>0</x:v>
      </x:c>
      <x:c r="O8" s="302" t="n">
        <x:f>MIN(N8,MAX(0,E8+J8-K8-M8))</x:f>
        <x:v>0</x:v>
      </x:c>
      <x:c r="P8" s="303" t="n">
        <x:f>MAX(0,E8+J8-K8)-O8+H8</x:f>
        <x:v>34830.520604</x:v>
      </x:c>
      <x:c r="Q8" s="302" t="n">
        <x:f>Q7+H8</x:f>
        <x:v>33486.821632</x:v>
      </x:c>
      <x:c r="R8" s="302" t="n">
        <x:f>R7+O8</x:f>
        <x:v>0</x:v>
      </x:c>
      <x:c r="S8" s="127" t="b">
        <x:f>O8&lt;N8</x:f>
        <x:v>0</x:v>
      </x:c>
      <x:c r="T8" s="304" t="n">
        <x:f>W7</x:f>
        <x:v>21315.465657022924</x:v>
      </x:c>
      <x:c r="U8" s="304" t="n">
        <x:f>IF(T8&lt;=0,1,(MAX(0,E8+J8-K8)-O8)/T8)</x:f>
        <x:v>1.1055073039999999</x:v>
      </x:c>
      <x:c r="V8" s="304" t="n">
        <x:f>IF(U8&gt;0,H8/U8,0)</x:f>
        <x:v>10190.902937715915</x:v>
      </x:c>
      <x:c r="W8" s="304" t="n">
        <x:f>T8+V8</x:f>
        <x:v>31506.368594738837</x:v>
      </x:c>
      <x:c r="X8" s="304" t="n">
        <x:f>IF(W8&gt;0,P8/W8,1)</x:f>
        <x:v>1.1055073039999999</x:v>
      </x:c>
    </x:row>
    <x:row r="9">
      <x:c r="A9" s="137" t="n">
        <x:f>A8+1</x:f>
        <x:v>2030</x:v>
      </x:c>
      <x:c r="B9" s="137" t="n">
        <x:f>A9-'Parámetros'!$B5+1</x:f>
        <x:v>5</x:v>
      </x:c>
      <x:c r="C9" s="137" t="str">
        <x:f>IF(B9&lt;='Parámetros'!$B12,"Acumulación","Maduración")</x:f>
        <x:v>Acumulación</x:v>
      </x:c>
      <x:c r="D9" s="301" t="n">
        <x:f>IF(B9&lt;='Senda estatutaria'!$B$5,'Senda estatutaria'!$C$5,IF(B9&lt;='Senda estatutaria'!$B$6,'Senda estatutaria'!$C$6,IF(B9&lt;='Senda estatutaria'!$B$7,'Senda estatutaria'!$C$7,IF(B9&lt;='Senda estatutaria'!$B$8,'Senda estatutaria'!$C$8,IF(B9&lt;='Senda estatutaria'!$B$9,'Senda estatutaria'!$C$9,'Senda estatutaria'!$C$10)))))</x:f>
        <x:v>0.0075</x:v>
      </x:c>
      <x:c r="E9" s="302" t="n">
        <x:f>P8</x:f>
        <x:v>34830.520604</x:v>
      </x:c>
      <x:c r="F9" s="302" t="n">
        <x:f>'Parámetros'!$B7*'Parámetros'!$B9/'Parámetros'!$B8</x:f>
        <x:v>2200000</x:v>
      </x:c>
      <x:c r="G9" s="302" t="n">
        <x:f>(1+'Parámetros'!$B10)^(B9-1)</x:f>
        <x:v>1.032386052096</x:v>
      </x:c>
      <x:c r="H9" s="302" t="n">
        <x:f>F9*D9*G9</x:f>
        <x:v>17034.369859584</x:v>
      </x:c>
      <x:c r="I9" s="302" t="n">
        <x:f>'Parámetros'!$B16*'Parámetros'!$B19+'Parámetros'!$B17*'Parámetros'!$B20+'Parámetros'!$B18*'Parámetros'!$B21</x:f>
        <x:v>0.035800000000000005</x:v>
      </x:c>
      <x:c r="J9" s="302" t="n">
        <x:f>E9*I9</x:f>
        <x:v>1246.9326376232002</x:v>
      </x:c>
      <x:c r="K9" s="302" t="n">
        <x:f>E9*'Parámetros'!$B11</x:f>
        <x:v>62.694937087199996</x:v>
      </x:c>
      <x:c r="L9" s="302" t="n">
        <x:f>AVERAGE(E5:E9)</x:f>
        <x:v>14870.215720800003</x:v>
      </x:c>
      <x:c r="M9" s="302" t="n">
        <x:f>'Parámetros'!$B15*MAX(0,Q8-R8)</x:f>
        <x:v>30138.1394688</x:v>
      </x:c>
      <x:c r="N9" s="302" t="n">
        <x:f>IF(B9&lt;='Parámetros'!$B12,0,'Parámetros'!$B13*L9)</x:f>
        <x:v>0</x:v>
      </x:c>
      <x:c r="O9" s="302" t="n">
        <x:f>MIN(N9,MAX(0,E9+J9-K9-M9))</x:f>
        <x:v>0</x:v>
      </x:c>
      <x:c r="P9" s="303" t="n">
        <x:f>MAX(0,E9+J9-K9)-O9+H9</x:f>
        <x:v>53049.12816411999</x:v>
      </x:c>
      <x:c r="Q9" s="302" t="n">
        <x:f>Q8+H9</x:f>
        <x:v>50521.191491584</x:v>
      </x:c>
      <x:c r="R9" s="302" t="n">
        <x:f>R8+O9</x:f>
        <x:v>0</x:v>
      </x:c>
      <x:c r="S9" s="127" t="b">
        <x:f>O9&lt;N9</x:f>
        <x:v>0</x:v>
      </x:c>
      <x:c r="T9" s="304" t="n">
        <x:f>W8</x:f>
        <x:v>31506.368594738837</x:v>
      </x:c>
      <x:c r="U9" s="304" t="n">
        <x:f>IF(T9&lt;=0,1,(MAX(0,E9+J9-K9)-O9)/T9)</x:f>
        <x:v>1.1430945523359999</x:v>
      </x:c>
      <x:c r="V9" s="304" t="n">
        <x:f>IF(U9&gt;0,H9/U9,0)</x:f>
        <x:v>14901.977990160989</x:v>
      </x:c>
      <x:c r="W9" s="304" t="n">
        <x:f>T9+V9</x:f>
        <x:v>46408.346584899824</x:v>
      </x:c>
      <x:c r="X9" s="304" t="n">
        <x:f>IF(W9&gt;0,P9/W9,1)</x:f>
        <x:v>1.1430945523359999</x:v>
      </x:c>
    </x:row>
    <x:row r="10">
      <x:c r="A10" s="137" t="n">
        <x:f>A9+1</x:f>
        <x:v>2031</x:v>
      </x:c>
      <x:c r="B10" s="137" t="n">
        <x:f>A10-'Parámetros'!$B5+1</x:f>
        <x:v>6</x:v>
      </x:c>
      <x:c r="C10" s="137" t="str">
        <x:f>IF(B10&lt;='Parámetros'!$B12,"Acumulación","Maduración")</x:f>
        <x:v>Acumulación</x:v>
      </x:c>
      <x:c r="D10" s="301" t="n">
        <x:f>IF(B10&lt;='Senda estatutaria'!$B$5,'Senda estatutaria'!$C$5,IF(B10&lt;='Senda estatutaria'!$B$6,'Senda estatutaria'!$C$6,IF(B10&lt;='Senda estatutaria'!$B$7,'Senda estatutaria'!$C$7,IF(B10&lt;='Senda estatutaria'!$B$8,'Senda estatutaria'!$C$8,IF(B10&lt;='Senda estatutaria'!$B$9,'Senda estatutaria'!$C$9,'Senda estatutaria'!$C$10)))))</x:f>
        <x:v>0.0075</x:v>
      </x:c>
      <x:c r="E10" s="302" t="n">
        <x:f>P9</x:f>
        <x:v>53049.12816411999</x:v>
      </x:c>
      <x:c r="F10" s="302" t="n">
        <x:f>'Parámetros'!$B7*'Parámetros'!$B9/'Parámetros'!$B8</x:f>
        <x:v>2200000</x:v>
      </x:c>
      <x:c r="G10" s="302" t="n">
        <x:f>(1+'Parámetros'!$B10)^(B10-1)</x:f>
        <x:v>1.0406451405127681</x:v>
      </x:c>
      <x:c r="H10" s="302" t="n">
        <x:f>F10*D10*G10</x:f>
        <x:v>17170.644818460674</x:v>
      </x:c>
      <x:c r="I10" s="302" t="n">
        <x:f>'Parámetros'!$B16*'Parámetros'!$B19+'Parámetros'!$B17*'Parámetros'!$B20+'Parámetros'!$B18*'Parámetros'!$B21</x:f>
        <x:v>0.035800000000000005</x:v>
      </x:c>
      <x:c r="J10" s="302" t="n">
        <x:f>E10*I10</x:f>
        <x:v>1899.158788275496</x:v>
      </x:c>
      <x:c r="K10" s="302" t="n">
        <x:f>E10*'Parámetros'!$B11</x:f>
        <x:v>95.48843069541597</x:v>
      </x:c>
      <x:c r="L10" s="302" t="n">
        <x:f>AVERAGE(E6:E10)</x:f>
        <x:v>25480.041353624</x:v>
      </x:c>
      <x:c r="M10" s="302" t="n">
        <x:f>'Parámetros'!$B15*MAX(0,Q9-R9)</x:f>
        <x:v>45469.07234242561</x:v>
      </x:c>
      <x:c r="N10" s="302" t="n">
        <x:f>IF(B10&lt;='Parámetros'!$B12,0,'Parámetros'!$B13*L10)</x:f>
        <x:v>0</x:v>
      </x:c>
      <x:c r="O10" s="302" t="n">
        <x:f>MIN(N10,MAX(0,E10+J10-K10-M10))</x:f>
        <x:v>0</x:v>
      </x:c>
      <x:c r="P10" s="303" t="n">
        <x:f>MAX(0,E10+J10-K10)-O10+H10</x:f>
        <x:v>72023.44334016074</x:v>
      </x:c>
      <x:c r="Q10" s="302" t="n">
        <x:f>Q9+H10</x:f>
        <x:v>67691.83631004467</x:v>
      </x:c>
      <x:c r="R10" s="302" t="n">
        <x:f>R9+O10</x:f>
        <x:v>0</x:v>
      </x:c>
      <x:c r="S10" s="127" t="b">
        <x:f>O10&lt;N10</x:f>
        <x:v>0</x:v>
      </x:c>
      <x:c r="T10" s="304" t="n">
        <x:f>W9</x:f>
        <x:v>46408.346584899824</x:v>
      </x:c>
      <x:c r="U10" s="304" t="n">
        <x:f>IF(T10&lt;=0,1,(MAX(0,E10+J10-K10)-O10)/T10)</x:f>
        <x:v>1.1819597671154238</x:v>
      </x:c>
      <x:c r="V10" s="304" t="n">
        <x:f>IF(U10&gt;0,H10/U10,0)</x:f>
        <x:v>14527.266744760425</x:v>
      </x:c>
      <x:c r="W10" s="304" t="n">
        <x:f>T10+V10</x:f>
        <x:v>60935.61332966025</x:v>
      </x:c>
      <x:c r="X10" s="304" t="n">
        <x:f>IF(W10&gt;0,P10/W10,1)</x:f>
        <x:v>1.1819597671154238</x:v>
      </x:c>
    </x:row>
    <x:row r="11">
      <x:c r="A11" s="137" t="n">
        <x:f>A10+1</x:f>
        <x:v>2032</x:v>
      </x:c>
      <x:c r="B11" s="137" t="n">
        <x:f>A11-'Parámetros'!$B5+1</x:f>
        <x:v>7</x:v>
      </x:c>
      <x:c r="C11" s="137" t="str">
        <x:f>IF(B11&lt;='Parámetros'!$B12,"Acumulación","Maduración")</x:f>
        <x:v>Acumulación</x:v>
      </x:c>
      <x:c r="D11" s="301" t="n">
        <x:f>IF(B11&lt;='Senda estatutaria'!$B$5,'Senda estatutaria'!$C$5,IF(B11&lt;='Senda estatutaria'!$B$6,'Senda estatutaria'!$C$6,IF(B11&lt;='Senda estatutaria'!$B$7,'Senda estatutaria'!$C$7,IF(B11&lt;='Senda estatutaria'!$B$8,'Senda estatutaria'!$C$8,IF(B11&lt;='Senda estatutaria'!$B$9,'Senda estatutaria'!$C$9,'Senda estatutaria'!$C$10)))))</x:f>
        <x:v>0.0125</x:v>
      </x:c>
      <x:c r="E11" s="302" t="n">
        <x:f>P10</x:f>
        <x:v>72023.44334016074</x:v>
      </x:c>
      <x:c r="F11" s="302" t="n">
        <x:f>'Parámetros'!$B7*'Parámetros'!$B9/'Parámetros'!$B8</x:f>
        <x:v>2200000</x:v>
      </x:c>
      <x:c r="G11" s="302" t="n">
        <x:f>(1+'Parámetros'!$B10)^(B11-1)</x:f>
        <x:v>1.04897030163687</x:v>
      </x:c>
      <x:c r="H11" s="302" t="n">
        <x:f>F11*D11*G11</x:f>
        <x:v>28846.68329501393</x:v>
      </x:c>
      <x:c r="I11" s="302" t="n">
        <x:f>'Parámetros'!$B16*'Parámetros'!$B19+'Parámetros'!$B17*'Parámetros'!$B20+'Parámetros'!$B18*'Parámetros'!$B21</x:f>
        <x:v>0.035800000000000005</x:v>
      </x:c>
      <x:c r="J11" s="302" t="n">
        <x:f>E11*I11</x:f>
        <x:v>2578.439271577755</x:v>
      </x:c>
      <x:c r="K11" s="302" t="n">
        <x:f>E11*'Parámetros'!$B11</x:f>
        <x:v>129.64219801228933</x:v>
      </x:c>
      <x:c r="L11" s="302" t="n">
        <x:f>AVERAGE(E7:E11)</x:f>
        <x:v>38784.73002165615</x:v>
      </x:c>
      <x:c r="M11" s="302" t="n">
        <x:f>'Parámetros'!$B15*MAX(0,Q10-R10)</x:f>
        <x:v>60922.652679040206</x:v>
      </x:c>
      <x:c r="N11" s="302" t="n">
        <x:f>IF(B11&lt;='Parámetros'!$B12,0,'Parámetros'!$B13*L11)</x:f>
        <x:v>0</x:v>
      </x:c>
      <x:c r="O11" s="302" t="n">
        <x:f>MIN(N11,MAX(0,E11+J11-K11-M11))</x:f>
        <x:v>0</x:v>
      </x:c>
      <x:c r="P11" s="303" t="n">
        <x:f>MAX(0,E11+J11-K11)-O11+H11</x:f>
        <x:v>103318.92370874013</x:v>
      </x:c>
      <x:c r="Q11" s="302" t="n">
        <x:f>Q10+H11</x:f>
        <x:v>96538.5196050586</x:v>
      </x:c>
      <x:c r="R11" s="302" t="n">
        <x:f>R10+O11</x:f>
        <x:v>0</x:v>
      </x:c>
      <x:c r="S11" s="127" t="b">
        <x:f>O11&lt;N11</x:f>
        <x:v>0</x:v>
      </x:c>
      <x:c r="T11" s="304" t="n">
        <x:f>W10</x:f>
        <x:v>60935.61332966025</x:v>
      </x:c>
      <x:c r="U11" s="304" t="n">
        <x:f>IF(T11&lt;=0,1,(MAX(0,E11+J11-K11)-O11)/T11)</x:f>
        <x:v>1.2221463991973482</x:v>
      </x:c>
      <x:c r="V11" s="304" t="n">
        <x:f>IF(U11&gt;0,H11/U11,0)</x:f>
        <x:v>23603.296064987924</x:v>
      </x:c>
      <x:c r="W11" s="304" t="n">
        <x:f>T11+V11</x:f>
        <x:v>84538.90939464817</x:v>
      </x:c>
      <x:c r="X11" s="304" t="n">
        <x:f>IF(W11&gt;0,P11/W11,1)</x:f>
        <x:v>1.222146399197348</x:v>
      </x:c>
    </x:row>
    <x:row r="12">
      <x:c r="A12" s="137" t="n">
        <x:f>A11+1</x:f>
        <x:v>2033</x:v>
      </x:c>
      <x:c r="B12" s="137" t="n">
        <x:f>A12-'Parámetros'!$B5+1</x:f>
        <x:v>8</x:v>
      </x:c>
      <x:c r="C12" s="137" t="str">
        <x:f>IF(B12&lt;='Parámetros'!$B12,"Acumulación","Maduración")</x:f>
        <x:v>Acumulación</x:v>
      </x:c>
      <x:c r="D12" s="301" t="n">
        <x:f>IF(B12&lt;='Senda estatutaria'!$B$5,'Senda estatutaria'!$C$5,IF(B12&lt;='Senda estatutaria'!$B$6,'Senda estatutaria'!$C$6,IF(B12&lt;='Senda estatutaria'!$B$7,'Senda estatutaria'!$C$7,IF(B12&lt;='Senda estatutaria'!$B$8,'Senda estatutaria'!$C$8,IF(B12&lt;='Senda estatutaria'!$B$9,'Senda estatutaria'!$C$9,'Senda estatutaria'!$C$10)))))</x:f>
        <x:v>0.0125</x:v>
      </x:c>
      <x:c r="E12" s="302" t="n">
        <x:f>P11</x:f>
        <x:v>103318.92370874013</x:v>
      </x:c>
      <x:c r="F12" s="302" t="n">
        <x:f>'Parámetros'!$B7*'Parámetros'!$B9/'Parámetros'!$B8</x:f>
        <x:v>2200000</x:v>
      </x:c>
      <x:c r="G12" s="302" t="n">
        <x:f>(1+'Parámetros'!$B10)^(B12-1)</x:f>
        <x:v>1.0573620640499652</x:v>
      </x:c>
      <x:c r="H12" s="302" t="n">
        <x:f>F12*D12*G12</x:f>
        <x:v>29077.456761374044</x:v>
      </x:c>
      <x:c r="I12" s="302" t="n">
        <x:f>'Parámetros'!$B16*'Parámetros'!$B19+'Parámetros'!$B17*'Parámetros'!$B20+'Parámetros'!$B18*'Parámetros'!$B21</x:f>
        <x:v>0.035800000000000005</x:v>
      </x:c>
      <x:c r="J12" s="302" t="n">
        <x:f>E12*I12</x:f>
        <x:v>3698.817468772897</x:v>
      </x:c>
      <x:c r="K12" s="302" t="n">
        <x:f>E12*'Parámetros'!$B11</x:f>
        <x:v>185.97406267573223</x:v>
      </x:c>
      <x:c r="L12" s="302" t="n">
        <x:f>AVERAGE(E8:E12)</x:f>
        <x:v>57202.314763404174</x:v>
      </x:c>
      <x:c r="M12" s="302" t="n">
        <x:f>'Parámetros'!$B15*MAX(0,Q11-R11)</x:f>
        <x:v>86884.66764455274</x:v>
      </x:c>
      <x:c r="N12" s="302" t="n">
        <x:f>IF(B12&lt;='Parámetros'!$B12,0,'Parámetros'!$B13*L12)</x:f>
        <x:v>0</x:v>
      </x:c>
      <x:c r="O12" s="302" t="n">
        <x:f>MIN(N12,MAX(0,E12+J12-K12-M12))</x:f>
        <x:v>0</x:v>
      </x:c>
      <x:c r="P12" s="303" t="n">
        <x:f>MAX(0,E12+J12-K12)-O12+H12</x:f>
        <x:v>135909.22387621136</x:v>
      </x:c>
      <x:c r="Q12" s="302" t="n">
        <x:f>Q11+H12</x:f>
        <x:v>125615.97636643265</x:v>
      </x:c>
      <x:c r="R12" s="302" t="n">
        <x:f>R11+O12</x:f>
        <x:v>0</x:v>
      </x:c>
      <x:c r="S12" s="127" t="b">
        <x:f>O12&lt;N12</x:f>
        <x:v>0</x:v>
      </x:c>
      <x:c r="T12" s="304" t="n">
        <x:f>W11</x:f>
        <x:v>84538.90939464817</x:v>
      </x:c>
      <x:c r="U12" s="304" t="n">
        <x:f>IF(T12&lt;=0,1,(MAX(0,E12+J12-K12)-O12)/T12)</x:f>
        <x:v>1.2636993767700582</x:v>
      </x:c>
      <x:c r="V12" s="304" t="n">
        <x:f>IF(U12&gt;0,H12/U12,0)</x:f>
        <x:v>23009.789587531748</x:v>
      </x:c>
      <x:c r="W12" s="304" t="n">
        <x:f>T12+V12</x:f>
        <x:v>107548.69898217992</x:v>
      </x:c>
      <x:c r="X12" s="304" t="n">
        <x:f>IF(W12&gt;0,P12/W12,1)</x:f>
        <x:v>1.2636993767700582</x:v>
      </x:c>
    </x:row>
    <x:row r="13">
      <x:c r="A13" s="137" t="n">
        <x:f>A12+1</x:f>
        <x:v>2034</x:v>
      </x:c>
      <x:c r="B13" s="137" t="n">
        <x:f>A13-'Parámetros'!$B5+1</x:f>
        <x:v>9</x:v>
      </x:c>
      <x:c r="C13" s="137" t="str">
        <x:f>IF(B13&lt;='Parámetros'!$B12,"Acumulación","Maduración")</x:f>
        <x:v>Acumulación</x:v>
      </x:c>
      <x:c r="D13" s="301" t="n">
        <x:f>IF(B13&lt;='Senda estatutaria'!$B$5,'Senda estatutaria'!$C$5,IF(B13&lt;='Senda estatutaria'!$B$6,'Senda estatutaria'!$C$6,IF(B13&lt;='Senda estatutaria'!$B$7,'Senda estatutaria'!$C$7,IF(B13&lt;='Senda estatutaria'!$B$8,'Senda estatutaria'!$C$8,IF(B13&lt;='Senda estatutaria'!$B$9,'Senda estatutaria'!$C$9,'Senda estatutaria'!$C$10)))))</x:f>
        <x:v>0.0125</x:v>
      </x:c>
      <x:c r="E13" s="302" t="n">
        <x:f>P12</x:f>
        <x:v>135909.22387621136</x:v>
      </x:c>
      <x:c r="F13" s="302" t="n">
        <x:f>'Parámetros'!$B7*'Parámetros'!$B9/'Parámetros'!$B8</x:f>
        <x:v>2200000</x:v>
      </x:c>
      <x:c r="G13" s="302" t="n">
        <x:f>(1+'Parámetros'!$B10)^(B13-1)</x:f>
        <x:v>1.065820960562365</x:v>
      </x:c>
      <x:c r="H13" s="302" t="n">
        <x:f>F13*D13*G13</x:f>
        <x:v>29310.076415465035</x:v>
      </x:c>
      <x:c r="I13" s="302" t="n">
        <x:f>'Parámetros'!$B16*'Parámetros'!$B19+'Parámetros'!$B17*'Parámetros'!$B20+'Parámetros'!$B18*'Parámetros'!$B21</x:f>
        <x:v>0.035800000000000005</x:v>
      </x:c>
      <x:c r="J13" s="302" t="n">
        <x:f>E13*I13</x:f>
        <x:v>4865.550214768367</x:v>
      </x:c>
      <x:c r="K13" s="302" t="n">
        <x:f>E13*'Parámetros'!$B11</x:f>
        <x:v>244.63660297718044</x:v>
      </x:c>
      <x:c r="L13" s="302" t="n">
        <x:f>AVERAGE(E9:E13)</x:f>
        <x:v>79826.24793864644</x:v>
      </x:c>
      <x:c r="M13" s="302" t="n">
        <x:f>'Parámetros'!$B15*MAX(0,Q12-R12)</x:f>
        <x:v>113054.37872978939</x:v>
      </x:c>
      <x:c r="N13" s="302" t="n">
        <x:f>IF(B13&lt;='Parámetros'!$B12,0,'Parámetros'!$B13*L13)</x:f>
        <x:v>0</x:v>
      </x:c>
      <x:c r="O13" s="302" t="n">
        <x:f>MIN(N13,MAX(0,E13+J13-K13-M13))</x:f>
        <x:v>0</x:v>
      </x:c>
      <x:c r="P13" s="303" t="n">
        <x:f>MAX(0,E13+J13-K13)-O13+H13</x:f>
        <x:v>169840.21390346758</x:v>
      </x:c>
      <x:c r="Q13" s="302" t="n">
        <x:f>Q12+H13</x:f>
        <x:v>154926.05278189768</x:v>
      </x:c>
      <x:c r="R13" s="302" t="n">
        <x:f>R12+O13</x:f>
        <x:v>0</x:v>
      </x:c>
      <x:c r="S13" s="127" t="b">
        <x:f>O13&lt;N13</x:f>
        <x:v>0</x:v>
      </x:c>
      <x:c r="T13" s="304" t="n">
        <x:f>W12</x:f>
        <x:v>107548.69898217992</x:v>
      </x:c>
      <x:c r="U13" s="304" t="n">
        <x:f>IF(T13&lt;=0,1,(MAX(0,E13+J13-K13)-O13)/T13)</x:f>
        <x:v>1.3066651555802402</x:v>
      </x:c>
      <x:c r="V13" s="304" t="n">
        <x:f>IF(U13&gt;0,H13/U13,0)</x:f>
        <x:v>22431.20687063056</x:v>
      </x:c>
      <x:c r="W13" s="304" t="n">
        <x:f>T13+V13</x:f>
        <x:v>129979.90585281048</x:v>
      </x:c>
      <x:c r="X13" s="304" t="n">
        <x:f>IF(W13&gt;0,P13/W13,1)</x:f>
        <x:v>1.3066651555802402</x:v>
      </x:c>
    </x:row>
    <x:row r="14">
      <x:c r="A14" s="137" t="n">
        <x:f>A13+1</x:f>
        <x:v>2035</x:v>
      </x:c>
      <x:c r="B14" s="137" t="n">
        <x:f>A14-'Parámetros'!$B5+1</x:f>
        <x:v>10</x:v>
      </x:c>
      <x:c r="C14" s="137" t="str">
        <x:f>IF(B14&lt;='Parámetros'!$B12,"Acumulación","Maduración")</x:f>
        <x:v>Acumulación</x:v>
      </x:c>
      <x:c r="D14" s="301" t="n">
        <x:f>IF(B14&lt;='Senda estatutaria'!$B$5,'Senda estatutaria'!$C$5,IF(B14&lt;='Senda estatutaria'!$B$6,'Senda estatutaria'!$C$6,IF(B14&lt;='Senda estatutaria'!$B$7,'Senda estatutaria'!$C$7,IF(B14&lt;='Senda estatutaria'!$B$8,'Senda estatutaria'!$C$8,IF(B14&lt;='Senda estatutaria'!$B$9,'Senda estatutaria'!$C$9,'Senda estatutaria'!$C$10)))))</x:f>
        <x:v>0.0175</x:v>
      </x:c>
      <x:c r="E14" s="302" t="n">
        <x:f>P13</x:f>
        <x:v>169840.21390346758</x:v>
      </x:c>
      <x:c r="F14" s="302" t="n">
        <x:f>'Parámetros'!$B7*'Parámetros'!$B9/'Parámetros'!$B8</x:f>
        <x:v>2200000</x:v>
      </x:c>
      <x:c r="G14" s="302" t="n">
        <x:f>(1+'Parámetros'!$B10)^(B14-1)</x:f>
        <x:v>1.0743475282468637</x:v>
      </x:c>
      <x:c r="H14" s="302" t="n">
        <x:f>F14*D14*G14</x:f>
        <x:v>41362.37983750426</x:v>
      </x:c>
      <x:c r="I14" s="302" t="n">
        <x:f>'Parámetros'!$B16*'Parámetros'!$B19+'Parámetros'!$B17*'Parámetros'!$B20+'Parámetros'!$B18*'Parámetros'!$B21</x:f>
        <x:v>0.035800000000000005</x:v>
      </x:c>
      <x:c r="J14" s="302" t="n">
        <x:f>E14*I14</x:f>
        <x:v>6080.27965774414</x:v>
      </x:c>
      <x:c r="K14" s="302" t="n">
        <x:f>E14*'Parámetros'!$B11</x:f>
        <x:v>305.71238502624163</x:v>
      </x:c>
      <x:c r="L14" s="302" t="n">
        <x:f>AVERAGE(E10:E14)</x:f>
        <x:v>106828.18659853996</x:v>
      </x:c>
      <x:c r="M14" s="302" t="n">
        <x:f>'Parámetros'!$B15*MAX(0,Q13-R13)</x:f>
        <x:v>139433.44750370792</x:v>
      </x:c>
      <x:c r="N14" s="302" t="n">
        <x:f>IF(B14&lt;='Parámetros'!$B12,0,'Parámetros'!$B13*L14)</x:f>
        <x:v>0</x:v>
      </x:c>
      <x:c r="O14" s="302" t="n">
        <x:f>MIN(N14,MAX(0,E14+J14-K14-M14))</x:f>
        <x:v>0</x:v>
      </x:c>
      <x:c r="P14" s="303" t="n">
        <x:f>MAX(0,E14+J14-K14)-O14+H14</x:f>
        <x:v>216977.16101368974</x:v>
      </x:c>
      <x:c r="Q14" s="302" t="n">
        <x:f>Q13+H14</x:f>
        <x:v>196288.43261940195</x:v>
      </x:c>
      <x:c r="R14" s="302" t="n">
        <x:f>R13+O14</x:f>
        <x:v>0</x:v>
      </x:c>
      <x:c r="S14" s="127" t="b">
        <x:f>O14&lt;N14</x:f>
        <x:v>0</x:v>
      </x:c>
      <x:c r="T14" s="304" t="n">
        <x:f>W13</x:f>
        <x:v>129979.90585281048</x:v>
      </x:c>
      <x:c r="U14" s="304" t="n">
        <x:f>IF(T14&lt;=0,1,(MAX(0,E14+J14-K14)-O14)/T14)</x:f>
        <x:v>1.3510917708699683</x:v>
      </x:c>
      <x:c r="V14" s="304" t="n">
        <x:f>IF(U14&gt;0,H14/U14,0)</x:f>
        <x:v>30614.04171744086</x:v>
      </x:c>
      <x:c r="W14" s="304" t="n">
        <x:f>T14+V14</x:f>
        <x:v>160593.94757025133</x:v>
      </x:c>
      <x:c r="X14" s="304" t="n">
        <x:f>IF(W14&gt;0,P14/W14,1)</x:f>
        <x:v>1.3510917708699683</x:v>
      </x:c>
    </x:row>
    <x:row r="15">
      <x:c r="A15" s="137" t="n">
        <x:f>A14+1</x:f>
        <x:v>2036</x:v>
      </x:c>
      <x:c r="B15" s="137" t="n">
        <x:f>A15-'Parámetros'!$B5+1</x:f>
        <x:v>11</x:v>
      </x:c>
      <x:c r="C15" s="137" t="str">
        <x:f>IF(B15&lt;='Parámetros'!$B12,"Acumulación","Maduración")</x:f>
        <x:v>Acumulación</x:v>
      </x:c>
      <x:c r="D15" s="301" t="n">
        <x:f>IF(B15&lt;='Senda estatutaria'!$B$5,'Senda estatutaria'!$C$5,IF(B15&lt;='Senda estatutaria'!$B$6,'Senda estatutaria'!$C$6,IF(B15&lt;='Senda estatutaria'!$B$7,'Senda estatutaria'!$C$7,IF(B15&lt;='Senda estatutaria'!$B$8,'Senda estatutaria'!$C$8,IF(B15&lt;='Senda estatutaria'!$B$9,'Senda estatutaria'!$C$9,'Senda estatutaria'!$C$10)))))</x:f>
        <x:v>0.0175</x:v>
      </x:c>
      <x:c r="E15" s="302" t="n">
        <x:f>P14</x:f>
        <x:v>216977.16101368974</x:v>
      </x:c>
      <x:c r="F15" s="302" t="n">
        <x:f>'Parámetros'!$B7*'Parámetros'!$B9/'Parámetros'!$B8</x:f>
        <x:v>2200000</x:v>
      </x:c>
      <x:c r="G15" s="302" t="n">
        <x:f>(1+'Parámetros'!$B10)^(B15-1)</x:f>
        <x:v>1.0829423084728387</x:v>
      </x:c>
      <x:c r="H15" s="302" t="n">
        <x:f>F15*D15*G15</x:f>
        <x:v>41693.2788762043</x:v>
      </x:c>
      <x:c r="I15" s="302" t="n">
        <x:f>'Parámetros'!$B16*'Parámetros'!$B19+'Parámetros'!$B17*'Parámetros'!$B20+'Parámetros'!$B18*'Parámetros'!$B21</x:f>
        <x:v>0.035800000000000005</x:v>
      </x:c>
      <x:c r="J15" s="302" t="n">
        <x:f>E15*I15</x:f>
        <x:v>7767.782364290094</x:v>
      </x:c>
      <x:c r="K15" s="302" t="n">
        <x:f>E15*'Parámetros'!$B11</x:f>
        <x:v>390.55888982464154</x:v>
      </x:c>
      <x:c r="L15" s="302" t="n">
        <x:f>AVERAGE(E11:E15)</x:f>
        <x:v>139613.7931684539</x:v>
      </x:c>
      <x:c r="M15" s="302" t="n">
        <x:f>'Parámetros'!$B15*MAX(0,Q14-R14)</x:f>
        <x:v>176659.58935746175</x:v>
      </x:c>
      <x:c r="N15" s="302" t="n">
        <x:f>IF(B15&lt;='Parámetros'!$B12,0,'Parámetros'!$B13*L15)</x:f>
        <x:v>0</x:v>
      </x:c>
      <x:c r="O15" s="302" t="n">
        <x:f>MIN(N15,MAX(0,E15+J15-K15-M15))</x:f>
        <x:v>0</x:v>
      </x:c>
      <x:c r="P15" s="303" t="n">
        <x:f>MAX(0,E15+J15-K15)-O15+H15</x:f>
        <x:v>266047.66336435947</x:v>
      </x:c>
      <x:c r="Q15" s="302" t="n">
        <x:f>Q14+H15</x:f>
        <x:v>237981.71149560626</x:v>
      </x:c>
      <x:c r="R15" s="302" t="n">
        <x:f>R14+O15</x:f>
        <x:v>0</x:v>
      </x:c>
      <x:c r="S15" s="127" t="b">
        <x:f>O15&lt;N15</x:f>
        <x:v>0</x:v>
      </x:c>
      <x:c r="T15" s="304" t="n">
        <x:f>W14</x:f>
        <x:v>160593.94757025133</x:v>
      </x:c>
      <x:c r="U15" s="304" t="n">
        <x:f>IF(T15&lt;=0,1,(MAX(0,E15+J15-K15)-O15)/T15)</x:f>
        <x:v>1.3970288910795474</x:v>
      </x:c>
      <x:c r="V15" s="304" t="n">
        <x:f>IF(U15&gt;0,H15/U15,0)</x:f>
        <x:v>29844.24956593848</x:v>
      </x:c>
      <x:c r="W15" s="304" t="n">
        <x:f>T15+V15</x:f>
        <x:v>190438.19713618982</x:v>
      </x:c>
      <x:c r="X15" s="304" t="n">
        <x:f>IF(W15&gt;0,P15/W15,1)</x:f>
        <x:v>1.3970288910795472</x:v>
      </x:c>
    </x:row>
    <x:row r="16">
      <x:c r="A16" s="137" t="n">
        <x:f>A15+1</x:f>
        <x:v>2037</x:v>
      </x:c>
      <x:c r="B16" s="137" t="n">
        <x:f>A16-'Parámetros'!$B5+1</x:f>
        <x:v>12</x:v>
      </x:c>
      <x:c r="C16" s="137" t="str">
        <x:f>IF(B16&lt;='Parámetros'!$B12,"Acumulación","Maduración")</x:f>
        <x:v>Acumulación</x:v>
      </x:c>
      <x:c r="D16" s="301" t="n">
        <x:f>IF(B16&lt;='Senda estatutaria'!$B$5,'Senda estatutaria'!$C$5,IF(B16&lt;='Senda estatutaria'!$B$6,'Senda estatutaria'!$C$6,IF(B16&lt;='Senda estatutaria'!$B$7,'Senda estatutaria'!$C$7,IF(B16&lt;='Senda estatutaria'!$B$8,'Senda estatutaria'!$C$8,IF(B16&lt;='Senda estatutaria'!$B$9,'Senda estatutaria'!$C$9,'Senda estatutaria'!$C$10)))))</x:f>
        <x:v>0.0175</x:v>
      </x:c>
      <x:c r="E16" s="302" t="n">
        <x:f>P15</x:f>
        <x:v>266047.66336435947</x:v>
      </x:c>
      <x:c r="F16" s="302" t="n">
        <x:f>'Parámetros'!$B7*'Parámetros'!$B9/'Parámetros'!$B8</x:f>
        <x:v>2200000</x:v>
      </x:c>
      <x:c r="G16" s="302" t="n">
        <x:f>(1+'Parámetros'!$B10)^(B16-1)</x:f>
        <x:v>1.0916058469406213</x:v>
      </x:c>
      <x:c r="H16" s="302" t="n">
        <x:f>F16*D16*G16</x:f>
        <x:v>42026.82510721393</x:v>
      </x:c>
      <x:c r="I16" s="302" t="n">
        <x:f>'Parámetros'!$B16*'Parámetros'!$B19+'Parámetros'!$B17*'Parámetros'!$B20+'Parámetros'!$B18*'Parámetros'!$B21</x:f>
        <x:v>0.035800000000000005</x:v>
      </x:c>
      <x:c r="J16" s="302" t="n">
        <x:f>E16*I16</x:f>
        <x:v>9524.50634844407</x:v>
      </x:c>
      <x:c r="K16" s="302" t="n">
        <x:f>E16*'Parámetros'!$B11</x:f>
        <x:v>478.88579405584704</x:v>
      </x:c>
      <x:c r="L16" s="302" t="n">
        <x:f>AVERAGE(E12:E16)</x:f>
        <x:v>178418.63717329368</x:v>
      </x:c>
      <x:c r="M16" s="302" t="n">
        <x:f>'Parámetros'!$B15*MAX(0,Q15-R15)</x:f>
        <x:v>214183.54034604563</x:v>
      </x:c>
      <x:c r="N16" s="302" t="n">
        <x:f>IF(B16&lt;='Parámetros'!$B12,0,'Parámetros'!$B13*L16)</x:f>
        <x:v>0</x:v>
      </x:c>
      <x:c r="O16" s="302" t="n">
        <x:f>MIN(N16,MAX(0,E16+J16-K16-M16))</x:f>
        <x:v>0</x:v>
      </x:c>
      <x:c r="P16" s="303" t="n">
        <x:f>MAX(0,E16+J16-K16)-O16+H16</x:f>
        <x:v>317120.10902596166</x:v>
      </x:c>
      <x:c r="Q16" s="302" t="n">
        <x:f>Q15+H16</x:f>
        <x:v>280008.5366028202</x:v>
      </x:c>
      <x:c r="R16" s="302" t="n">
        <x:f>R15+O16</x:f>
        <x:v>0</x:v>
      </x:c>
      <x:c r="S16" s="127" t="b">
        <x:f>O16&lt;N16</x:f>
        <x:v>0</x:v>
      </x:c>
      <x:c r="T16" s="304" t="n">
        <x:f>W15</x:f>
        <x:v>190438.19713618982</x:v>
      </x:c>
      <x:c r="U16" s="304" t="n">
        <x:f>IF(T16&lt;=0,1,(MAX(0,E16+J16-K16)-O16)/T16)</x:f>
        <x:v>1.444527873376252</x:v>
      </x:c>
      <x:c r="V16" s="304" t="n">
        <x:f>IF(U16&gt;0,H16/U16,0)</x:f>
        <x:v>29093.813890199213</x:v>
      </x:c>
      <x:c r="W16" s="304" t="n">
        <x:f>T16+V16</x:f>
        <x:v>219532.01102638902</x:v>
      </x:c>
      <x:c r="X16" s="304" t="n">
        <x:f>IF(W16&gt;0,P16/W16,1)</x:f>
        <x:v>1.444527873376252</x:v>
      </x:c>
    </x:row>
    <x:row r="17">
      <x:c r="A17" s="137" t="n">
        <x:f>A16+1</x:f>
        <x:v>2038</x:v>
      </x:c>
      <x:c r="B17" s="137" t="n">
        <x:f>A17-'Parámetros'!$B5+1</x:f>
        <x:v>13</x:v>
      </x:c>
      <x:c r="C17" s="137" t="str">
        <x:f>IF(B17&lt;='Parámetros'!$B12,"Acumulación","Maduración")</x:f>
        <x:v>Acumulación</x:v>
      </x:c>
      <x:c r="D17" s="301" t="n">
        <x:f>IF(B17&lt;='Senda estatutaria'!$B$5,'Senda estatutaria'!$C$5,IF(B17&lt;='Senda estatutaria'!$B$6,'Senda estatutaria'!$C$6,IF(B17&lt;='Senda estatutaria'!$B$7,'Senda estatutaria'!$C$7,IF(B17&lt;='Senda estatutaria'!$B$8,'Senda estatutaria'!$C$8,IF(B17&lt;='Senda estatutaria'!$B$9,'Senda estatutaria'!$C$9,'Senda estatutaria'!$C$10)))))</x:f>
        <x:v>0.025</x:v>
      </x:c>
      <x:c r="E17" s="302" t="n">
        <x:f>P16</x:f>
        <x:v>317120.10902596166</x:v>
      </x:c>
      <x:c r="F17" s="302" t="n">
        <x:f>'Parámetros'!$B7*'Parámetros'!$B9/'Parámetros'!$B8</x:f>
        <x:v>2200000</x:v>
      </x:c>
      <x:c r="G17" s="302" t="n">
        <x:f>(1+'Parámetros'!$B10)^(B17-1)</x:f>
        <x:v>1.1003386937161463</x:v>
      </x:c>
      <x:c r="H17" s="302" t="n">
        <x:f>F17*D17*G17</x:f>
        <x:v>60518.62815438805</x:v>
      </x:c>
      <x:c r="I17" s="302" t="n">
        <x:f>'Parámetros'!$B16*'Parámetros'!$B19+'Parámetros'!$B17*'Parámetros'!$B20+'Parámetros'!$B18*'Parámetros'!$B21</x:f>
        <x:v>0.035800000000000005</x:v>
      </x:c>
      <x:c r="J17" s="302" t="n">
        <x:f>E17*I17</x:f>
        <x:v>11352.89990312943</x:v>
      </x:c>
      <x:c r="K17" s="302" t="n">
        <x:f>E17*'Parámetros'!$B11</x:f>
        <x:v>570.816196246731</x:v>
      </x:c>
      <x:c r="L17" s="302" t="n">
        <x:f>AVERAGE(E13:E17)</x:f>
        <x:v>221178.874236738</x:v>
      </x:c>
      <x:c r="M17" s="302" t="n">
        <x:f>'Parámetros'!$B15*MAX(0,Q16-R16)</x:f>
        <x:v>252007.6829425382</x:v>
      </x:c>
      <x:c r="N17" s="302" t="n">
        <x:f>IF(B17&lt;='Parámetros'!$B12,0,'Parámetros'!$B13*L17)</x:f>
        <x:v>0</x:v>
      </x:c>
      <x:c r="O17" s="302" t="n">
        <x:f>MIN(N17,MAX(0,E17+J17-K17-M17))</x:f>
        <x:v>0</x:v>
      </x:c>
      <x:c r="P17" s="303" t="n">
        <x:f>MAX(0,E17+J17-K17)-O17+H17</x:f>
        <x:v>388420.82088723243</x:v>
      </x:c>
      <x:c r="Q17" s="302" t="n">
        <x:f>Q16+H17</x:f>
        <x:v>340527.16475720826</x:v>
      </x:c>
      <x:c r="R17" s="302" t="n">
        <x:f>R16+O17</x:f>
        <x:v>0</x:v>
      </x:c>
      <x:c r="S17" s="127" t="b">
        <x:f>O17&lt;N17</x:f>
        <x:v>0</x:v>
      </x:c>
      <x:c r="T17" s="304" t="n">
        <x:f>W16</x:f>
        <x:v>219532.01102638902</x:v>
      </x:c>
      <x:c r="U17" s="304" t="n">
        <x:f>IF(T17&lt;=0,1,(MAX(0,E17+J17-K17)-O17)/T17)</x:f>
        <x:v>1.4936418210710447</x:v>
      </x:c>
      <x:c r="V17" s="304" t="n">
        <x:f>IF(U17&gt;0,H17/U17,0)</x:f>
        <x:v>40517.49710047084</x:v>
      </x:c>
      <x:c r="W17" s="304" t="n">
        <x:f>T17+V17</x:f>
        <x:v>260049.50812685987</x:v>
      </x:c>
      <x:c r="X17" s="304" t="n">
        <x:f>IF(W17&gt;0,P17/W17,1)</x:f>
        <x:v>1.4936418210710447</x:v>
      </x:c>
    </x:row>
    <x:row r="18">
      <x:c r="A18" s="137" t="n">
        <x:f>A17+1</x:f>
        <x:v>2039</x:v>
      </x:c>
      <x:c r="B18" s="137" t="n">
        <x:f>A18-'Parámetros'!$B5+1</x:f>
        <x:v>14</x:v>
      </x:c>
      <x:c r="C18" s="137" t="str">
        <x:f>IF(B18&lt;='Parámetros'!$B12,"Acumulación","Maduración")</x:f>
        <x:v>Acumulación</x:v>
      </x:c>
      <x:c r="D18" s="301" t="n">
        <x:f>IF(B18&lt;='Senda estatutaria'!$B$5,'Senda estatutaria'!$C$5,IF(B18&lt;='Senda estatutaria'!$B$6,'Senda estatutaria'!$C$6,IF(B18&lt;='Senda estatutaria'!$B$7,'Senda estatutaria'!$C$7,IF(B18&lt;='Senda estatutaria'!$B$8,'Senda estatutaria'!$C$8,IF(B18&lt;='Senda estatutaria'!$B$9,'Senda estatutaria'!$C$9,'Senda estatutaria'!$C$10)))))</x:f>
        <x:v>0.025</x:v>
      </x:c>
      <x:c r="E18" s="302" t="n">
        <x:f>P17</x:f>
        <x:v>388420.82088723243</x:v>
      </x:c>
      <x:c r="F18" s="302" t="n">
        <x:f>'Parámetros'!$B7*'Parámetros'!$B9/'Parámetros'!$B8</x:f>
        <x:v>2200000</x:v>
      </x:c>
      <x:c r="G18" s="302" t="n">
        <x:f>(1+'Parámetros'!$B10)^(B18-1)</x:f>
        <x:v>1.1091414032658755</x:v>
      </x:c>
      <x:c r="H18" s="302" t="n">
        <x:f>F18*D18*G18</x:f>
        <x:v>61002.777179623154</x:v>
      </x:c>
      <x:c r="I18" s="302" t="n">
        <x:f>'Parámetros'!$B16*'Parámetros'!$B19+'Parámetros'!$B17*'Parámetros'!$B20+'Parámetros'!$B18*'Parámetros'!$B21</x:f>
        <x:v>0.035800000000000005</x:v>
      </x:c>
      <x:c r="J18" s="302" t="n">
        <x:f>E18*I18</x:f>
        <x:v>13905.465387762923</x:v>
      </x:c>
      <x:c r="K18" s="302" t="n">
        <x:f>E18*'Parámetros'!$B11</x:f>
        <x:v>699.1574775970183</x:v>
      </x:c>
      <x:c r="L18" s="302" t="n">
        <x:f>AVERAGE(E14:E18)</x:f>
        <x:v>271681.1936389422</x:v>
      </x:c>
      <x:c r="M18" s="302" t="n">
        <x:f>'Parámetros'!$B15*MAX(0,Q17-R17)</x:f>
        <x:v>306474.44828148745</x:v>
      </x:c>
      <x:c r="N18" s="302" t="n">
        <x:f>IF(B18&lt;='Parámetros'!$B12,0,'Parámetros'!$B13*L18)</x:f>
        <x:v>0</x:v>
      </x:c>
      <x:c r="O18" s="302" t="n">
        <x:f>MIN(N18,MAX(0,E18+J18-K18-M18))</x:f>
        <x:v>0</x:v>
      </x:c>
      <x:c r="P18" s="303" t="n">
        <x:f>MAX(0,E18+J18-K18)-O18+H18</x:f>
        <x:v>462629.9059770215</x:v>
      </x:c>
      <x:c r="Q18" s="302" t="n">
        <x:f>Q17+H18</x:f>
        <x:v>401529.9419368314</x:v>
      </x:c>
      <x:c r="R18" s="302" t="n">
        <x:f>R17+O18</x:f>
        <x:v>0</x:v>
      </x:c>
      <x:c r="S18" s="127" t="b">
        <x:f>O18&lt;N18</x:f>
        <x:v>0</x:v>
      </x:c>
      <x:c r="T18" s="304" t="n">
        <x:f>W17</x:f>
        <x:v>260049.50812685987</x:v>
      </x:c>
      <x:c r="U18" s="304" t="n">
        <x:f>IF(T18&lt;=0,1,(MAX(0,E18+J18-K18)-O18)/T18)</x:f>
        <x:v>1.5444256429874603</x:v>
      </x:c>
      <x:c r="V18" s="304" t="n">
        <x:f>IF(U18&gt;0,H18/U18,0)</x:f>
        <x:v>39498.68189291548</x:v>
      </x:c>
      <x:c r="W18" s="304" t="n">
        <x:f>T18+V18</x:f>
        <x:v>299548.19001977536</x:v>
      </x:c>
      <x:c r="X18" s="304" t="n">
        <x:f>IF(W18&gt;0,P18/W18,1)</x:f>
        <x:v>1.5444256429874603</x:v>
      </x:c>
    </x:row>
    <x:row r="19">
      <x:c r="A19" s="137" t="n">
        <x:f>A18+1</x:f>
        <x:v>2040</x:v>
      </x:c>
      <x:c r="B19" s="137" t="n">
        <x:f>A19-'Parámetros'!$B5+1</x:f>
        <x:v>15</x:v>
      </x:c>
      <x:c r="C19" s="137" t="str">
        <x:f>IF(B19&lt;='Parámetros'!$B12,"Acumulación","Maduración")</x:f>
        <x:v>Acumulación</x:v>
      </x:c>
      <x:c r="D19" s="301" t="n">
        <x:f>IF(B19&lt;='Senda estatutaria'!$B$5,'Senda estatutaria'!$C$5,IF(B19&lt;='Senda estatutaria'!$B$6,'Senda estatutaria'!$C$6,IF(B19&lt;='Senda estatutaria'!$B$7,'Senda estatutaria'!$C$7,IF(B19&lt;='Senda estatutaria'!$B$8,'Senda estatutaria'!$C$8,IF(B19&lt;='Senda estatutaria'!$B$9,'Senda estatutaria'!$C$9,'Senda estatutaria'!$C$10)))))</x:f>
        <x:v>0.025</x:v>
      </x:c>
      <x:c r="E19" s="302" t="n">
        <x:f>P18</x:f>
        <x:v>462629.9059770215</x:v>
      </x:c>
      <x:c r="F19" s="302" t="n">
        <x:f>'Parámetros'!$B7*'Parámetros'!$B9/'Parámetros'!$B8</x:f>
        <x:v>2200000</x:v>
      </x:c>
      <x:c r="G19" s="302" t="n">
        <x:f>(1+'Parámetros'!$B10)^(B19-1)</x:f>
        <x:v>1.1180145344920027</x:v>
      </x:c>
      <x:c r="H19" s="302" t="n">
        <x:f>F19*D19*G19</x:f>
        <x:v>61490.79939706015</x:v>
      </x:c>
      <x:c r="I19" s="302" t="n">
        <x:f>'Parámetros'!$B16*'Parámetros'!$B19+'Parámetros'!$B17*'Parámetros'!$B20+'Parámetros'!$B18*'Parámetros'!$B21</x:f>
        <x:v>0.035800000000000005</x:v>
      </x:c>
      <x:c r="J19" s="302" t="n">
        <x:f>E19*I19</x:f>
        <x:v>16562.150633977373</x:v>
      </x:c>
      <x:c r="K19" s="302" t="n">
        <x:f>E19*'Parámetros'!$B11</x:f>
        <x:v>832.7338307586386</x:v>
      </x:c>
      <x:c r="L19" s="302" t="n">
        <x:f>AVERAGE(E15:E19)</x:f>
        <x:v>330239.13205365295</x:v>
      </x:c>
      <x:c r="M19" s="302" t="n">
        <x:f>'Parámetros'!$B15*MAX(0,Q18-R18)</x:f>
        <x:v>361376.94774314825</x:v>
      </x:c>
      <x:c r="N19" s="302" t="n">
        <x:f>IF(B19&lt;='Parámetros'!$B12,0,'Parámetros'!$B13*L19)</x:f>
        <x:v>0</x:v>
      </x:c>
      <x:c r="O19" s="302" t="n">
        <x:f>MIN(N19,MAX(0,E19+J19-K19-M19))</x:f>
        <x:v>0</x:v>
      </x:c>
      <x:c r="P19" s="303" t="n">
        <x:f>MAX(0,E19+J19-K19)-O19+H19</x:f>
        <x:v>539850.1221773004</x:v>
      </x:c>
      <x:c r="Q19" s="302" t="n">
        <x:f>Q18+H19</x:f>
        <x:v>463020.7413338915</x:v>
      </x:c>
      <x:c r="R19" s="302" t="n">
        <x:f>R18+O19</x:f>
        <x:v>0</x:v>
      </x:c>
      <x:c r="S19" s="127" t="b">
        <x:f>O19&lt;N19</x:f>
        <x:v>0</x:v>
      </x:c>
      <x:c r="T19" s="304" t="n">
        <x:f>W18</x:f>
        <x:v>299548.19001977536</x:v>
      </x:c>
      <x:c r="U19" s="304" t="n">
        <x:f>IF(T19&lt;=0,1,(MAX(0,E19+J19-K19)-O19)/T19)</x:f>
        <x:v>1.596936114849034</x:v>
      </x:c>
      <x:c r="V19" s="304" t="n">
        <x:f>IF(U19&gt;0,H19/U19,0)</x:f>
        <x:v>38505.48486272613</x:v>
      </x:c>
      <x:c r="W19" s="304" t="n">
        <x:f>T19+V19</x:f>
        <x:v>338053.6748825015</x:v>
      </x:c>
      <x:c r="X19" s="304" t="n">
        <x:f>IF(W19&gt;0,P19/W19,1)</x:f>
        <x:v>1.596936114849034</x:v>
      </x:c>
    </x:row>
    <x:row r="20">
      <x:c r="A20" s="137" t="n">
        <x:f>A19+1</x:f>
        <x:v>2041</x:v>
      </x:c>
      <x:c r="B20" s="137" t="n">
        <x:f>A20-'Parámetros'!$B5+1</x:f>
        <x:v>16</x:v>
      </x:c>
      <x:c r="C20" s="137" t="str">
        <x:f>IF(B20&lt;='Parámetros'!$B12,"Acumulación","Maduración")</x:f>
        <x:v>Acumulación</x:v>
      </x:c>
      <x:c r="D20" s="301" t="n">
        <x:f>IF(B20&lt;='Senda estatutaria'!$B$5,'Senda estatutaria'!$C$5,IF(B20&lt;='Senda estatutaria'!$B$6,'Senda estatutaria'!$C$6,IF(B20&lt;='Senda estatutaria'!$B$7,'Senda estatutaria'!$C$7,IF(B20&lt;='Senda estatutaria'!$B$8,'Senda estatutaria'!$C$8,IF(B20&lt;='Senda estatutaria'!$B$9,'Senda estatutaria'!$C$9,'Senda estatutaria'!$C$10)))))</x:f>
        <x:v>0.025</x:v>
      </x:c>
      <x:c r="E20" s="302" t="n">
        <x:f>P19</x:f>
        <x:v>539850.1221773004</x:v>
      </x:c>
      <x:c r="F20" s="302" t="n">
        <x:f>'Parámetros'!$B7*'Parámetros'!$B9/'Parámetros'!$B8</x:f>
        <x:v>2200000</x:v>
      </x:c>
      <x:c r="G20" s="302" t="n">
        <x:f>(1+'Parámetros'!$B10)^(B20-1)</x:f>
        <x:v>1.1269586507679386</x:v>
      </x:c>
      <x:c r="H20" s="302" t="n">
        <x:f>F20*D20*G20</x:f>
        <x:v>61982.72579223662</x:v>
      </x:c>
      <x:c r="I20" s="302" t="n">
        <x:f>'Parámetros'!$B16*'Parámetros'!$B19+'Parámetros'!$B17*'Parámetros'!$B20+'Parámetros'!$B18*'Parámetros'!$B21</x:f>
        <x:v>0.035800000000000005</x:v>
      </x:c>
      <x:c r="J20" s="302" t="n">
        <x:f>E20*I20</x:f>
        <x:v>19326.634373947356</x:v>
      </x:c>
      <x:c r="K20" s="302" t="n">
        <x:f>E20*'Parámetros'!$B11</x:f>
        <x:v>971.7302199191407</x:v>
      </x:c>
      <x:c r="L20" s="302" t="n">
        <x:f>AVERAGE(E16:E20)</x:f>
        <x:v>394813.7242863751</x:v>
      </x:c>
      <x:c r="M20" s="302" t="n">
        <x:f>'Parámetros'!$B15*MAX(0,Q19-R19)</x:f>
        <x:v>416718.66720050236</x:v>
      </x:c>
      <x:c r="N20" s="302" t="n">
        <x:f>IF(B20&lt;='Parámetros'!$B12,0,'Parámetros'!$B13*L20)</x:f>
        <x:v>0</x:v>
      </x:c>
      <x:c r="O20" s="302" t="n">
        <x:f>MIN(N20,MAX(0,E20+J20-K20-M20))</x:f>
        <x:v>0</x:v>
      </x:c>
      <x:c r="P20" s="303" t="n">
        <x:f>MAX(0,E20+J20-K20)-O20+H20</x:f>
        <x:v>620187.7521235653</x:v>
      </x:c>
      <x:c r="Q20" s="302" t="n">
        <x:f>Q19+H20</x:f>
        <x:v>525003.4671261281</x:v>
      </x:c>
      <x:c r="R20" s="302" t="n">
        <x:f>R19+O20</x:f>
        <x:v>0</x:v>
      </x:c>
      <x:c r="S20" s="127" t="b">
        <x:f>O20&lt;N20</x:f>
        <x:v>0</x:v>
      </x:c>
      <x:c r="T20" s="304" t="n">
        <x:f>W19</x:f>
        <x:v>338053.6748825015</x:v>
      </x:c>
      <x:c r="U20" s="304" t="n">
        <x:f>IF(T20&lt;=0,1,(MAX(0,E20+J20-K20)-O20)/T20)</x:f>
        <x:v>1.6512319427539013</x:v>
      </x:c>
      <x:c r="V20" s="304" t="n">
        <x:f>IF(U20&gt;0,H20/U20,0)</x:f>
        <x:v>37537.26183909857</x:v>
      </x:c>
      <x:c r="W20" s="304" t="n">
        <x:f>T20+V20</x:f>
        <x:v>375590.93672160007</x:v>
      </x:c>
      <x:c r="X20" s="304" t="n">
        <x:f>IF(W20&gt;0,P20/W20,1)</x:f>
        <x:v>1.6512319427539013</x:v>
      </x:c>
    </x:row>
    <x:row r="21">
      <x:c r="A21" s="137" t="n">
        <x:f>A20+1</x:f>
        <x:v>2042</x:v>
      </x:c>
      <x:c r="B21" s="137" t="n">
        <x:f>A21-'Parámetros'!$B5+1</x:f>
        <x:v>17</x:v>
      </x:c>
      <x:c r="C21" s="137" t="str">
        <x:f>IF(B21&lt;='Parámetros'!$B12,"Acumulación","Maduración")</x:f>
        <x:v>Acumulación</x:v>
      </x:c>
      <x:c r="D21" s="301" t="n">
        <x:f>IF(B21&lt;='Senda estatutaria'!$B$5,'Senda estatutaria'!$C$5,IF(B21&lt;='Senda estatutaria'!$B$6,'Senda estatutaria'!$C$6,IF(B21&lt;='Senda estatutaria'!$B$7,'Senda estatutaria'!$C$7,IF(B21&lt;='Senda estatutaria'!$B$8,'Senda estatutaria'!$C$8,IF(B21&lt;='Senda estatutaria'!$B$9,'Senda estatutaria'!$C$9,'Senda estatutaria'!$C$10)))))</x:f>
        <x:v>0.025</x:v>
      </x:c>
      <x:c r="E21" s="302" t="n">
        <x:f>P20</x:f>
        <x:v>620187.7521235653</x:v>
      </x:c>
      <x:c r="F21" s="302" t="n">
        <x:f>'Parámetros'!$B7*'Parámetros'!$B9/'Parámetros'!$B8</x:f>
        <x:v>2200000</x:v>
      </x:c>
      <x:c r="G21" s="302" t="n">
        <x:f>(1+'Parámetros'!$B10)^(B21-1)</x:f>
        <x:v>1.1359743199740822</x:v>
      </x:c>
      <x:c r="H21" s="302" t="n">
        <x:f>F21*D21*G21</x:f>
        <x:v>62478.587598574515</x:v>
      </x:c>
      <x:c r="I21" s="302" t="n">
        <x:f>'Parámetros'!$B16*'Parámetros'!$B19+'Parámetros'!$B17*'Parámetros'!$B20+'Parámetros'!$B18*'Parámetros'!$B21</x:f>
        <x:v>0.035800000000000005</x:v>
      </x:c>
      <x:c r="J21" s="302" t="n">
        <x:f>E21*I21</x:f>
        <x:v>22202.72152602364</x:v>
      </x:c>
      <x:c r="K21" s="302" t="n">
        <x:f>E21*'Parámetros'!$B11</x:f>
        <x:v>1116.3379538224176</x:v>
      </x:c>
      <x:c r="L21" s="302" t="n">
        <x:f>AVERAGE(E17:E21)</x:f>
        <x:v>465641.74203821627</x:v>
      </x:c>
      <x:c r="M21" s="302" t="n">
        <x:f>'Parámetros'!$B15*MAX(0,Q20-R20)</x:f>
        <x:v>472503.12041351537</x:v>
      </x:c>
      <x:c r="N21" s="302" t="n">
        <x:f>IF(B21&lt;='Parámetros'!$B12,0,'Parámetros'!$B13*L21)</x:f>
        <x:v>0</x:v>
      </x:c>
      <x:c r="O21" s="302" t="n">
        <x:f>MIN(N21,MAX(0,E21+J21-K21-M21))</x:f>
        <x:v>0</x:v>
      </x:c>
      <x:c r="P21" s="303" t="n">
        <x:f>MAX(0,E21+J21-K21)-O21+H21</x:f>
        <x:v>703752.7232943409</x:v>
      </x:c>
      <x:c r="Q21" s="302" t="n">
        <x:f>Q20+H21</x:f>
        <x:v>587482.0547247026</x:v>
      </x:c>
      <x:c r="R21" s="302" t="n">
        <x:f>R20+O21</x:f>
        <x:v>0</x:v>
      </x:c>
      <x:c r="S21" s="127" t="b">
        <x:f>O21&lt;N21</x:f>
        <x:v>0</x:v>
      </x:c>
      <x:c r="T21" s="304" t="n">
        <x:f>W20</x:f>
        <x:v>375590.93672160007</x:v>
      </x:c>
      <x:c r="U21" s="304" t="n">
        <x:f>IF(T21&lt;=0,1,(MAX(0,E21+J21-K21)-O21)/T21)</x:f>
        <x:v>1.7073738288075337</x:v>
      </x:c>
      <x:c r="V21" s="304" t="n">
        <x:f>IF(U21&gt;0,H21/U21,0)</x:f>
        <x:v>36593.384848947164</x:v>
      </x:c>
      <x:c r="W21" s="304" t="n">
        <x:f>T21+V21</x:f>
        <x:v>412184.32157054724</x:v>
      </x:c>
      <x:c r="X21" s="304" t="n">
        <x:f>IF(W21&gt;0,P21/W21,1)</x:f>
        <x:v>1.7073738288075335</x:v>
      </x:c>
    </x:row>
    <x:row r="22">
      <x:c r="A22" s="137" t="n">
        <x:f>A21+1</x:f>
        <x:v>2043</x:v>
      </x:c>
      <x:c r="B22" s="137" t="n">
        <x:f>A22-'Parámetros'!$B5+1</x:f>
        <x:v>18</x:v>
      </x:c>
      <x:c r="C22" s="137" t="str">
        <x:f>IF(B22&lt;='Parámetros'!$B12,"Acumulación","Maduración")</x:f>
        <x:v>Acumulación</x:v>
      </x:c>
      <x:c r="D22" s="301" t="n">
        <x:f>IF(B22&lt;='Senda estatutaria'!$B$5,'Senda estatutaria'!$C$5,IF(B22&lt;='Senda estatutaria'!$B$6,'Senda estatutaria'!$C$6,IF(B22&lt;='Senda estatutaria'!$B$7,'Senda estatutaria'!$C$7,IF(B22&lt;='Senda estatutaria'!$B$8,'Senda estatutaria'!$C$8,IF(B22&lt;='Senda estatutaria'!$B$9,'Senda estatutaria'!$C$9,'Senda estatutaria'!$C$10)))))</x:f>
        <x:v>0.025</x:v>
      </x:c>
      <x:c r="E22" s="302" t="n">
        <x:f>P21</x:f>
        <x:v>703752.7232943409</x:v>
      </x:c>
      <x:c r="F22" s="302" t="n">
        <x:f>'Parámetros'!$B7*'Parámetros'!$B9/'Parámetros'!$B8</x:f>
        <x:v>2200000</x:v>
      </x:c>
      <x:c r="G22" s="302" t="n">
        <x:f>(1+'Parámetros'!$B10)^(B22-1)</x:f>
        <x:v>1.1450621145338749</x:v>
      </x:c>
      <x:c r="H22" s="302" t="n">
        <x:f>F22*D22*G22</x:f>
        <x:v>62978.41629936312</x:v>
      </x:c>
      <x:c r="I22" s="302" t="n">
        <x:f>'Parámetros'!$B16*'Parámetros'!$B19+'Parámetros'!$B17*'Parámetros'!$B20+'Parámetros'!$B18*'Parámetros'!$B21</x:f>
        <x:v>0.035800000000000005</x:v>
      </x:c>
      <x:c r="J22" s="302" t="n">
        <x:f>E22*I22</x:f>
        <x:v>25194.347493937406</x:v>
      </x:c>
      <x:c r="K22" s="302" t="n">
        <x:f>E22*'Parámetros'!$B11</x:f>
        <x:v>1266.7549019298135</x:v>
      </x:c>
      <x:c r="L22" s="302" t="n">
        <x:f>AVERAGE(E18:E22)</x:f>
        <x:v>542968.2648918921</x:v>
      </x:c>
      <x:c r="M22" s="302" t="n">
        <x:f>'Parámetros'!$B15*MAX(0,Q21-R21)</x:f>
        <x:v>528733.8492522324</x:v>
      </x:c>
      <x:c r="N22" s="302" t="n">
        <x:f>IF(B22&lt;='Parámetros'!$B12,0,'Parámetros'!$B13*L22)</x:f>
        <x:v>0</x:v>
      </x:c>
      <x:c r="O22" s="302" t="n">
        <x:f>MIN(N22,MAX(0,E22+J22-K22-M22))</x:f>
        <x:v>0</x:v>
      </x:c>
      <x:c r="P22" s="303" t="n">
        <x:f>MAX(0,E22+J22-K22)-O22+H22</x:f>
        <x:v>790658.7321857116</x:v>
      </x:c>
      <x:c r="Q22" s="302" t="n">
        <x:f>Q21+H22</x:f>
        <x:v>650460.4710240657</x:v>
      </x:c>
      <x:c r="R22" s="302" t="n">
        <x:f>R21+O22</x:f>
        <x:v>0</x:v>
      </x:c>
      <x:c r="S22" s="127" t="b">
        <x:f>O22&lt;N22</x:f>
        <x:v>0</x:v>
      </x:c>
      <x:c r="T22" s="304" t="n">
        <x:f>W21</x:f>
        <x:v>412184.32157054724</x:v>
      </x:c>
      <x:c r="U22" s="304" t="n">
        <x:f>IF(T22&lt;=0,1,(MAX(0,E22+J22-K22)-O22)/T22)</x:f>
        <x:v>1.7654245389869898</x:v>
      </x:c>
      <x:c r="V22" s="304" t="n">
        <x:f>IF(U22&gt;0,H22/U22,0)</x:f>
        <x:v>35673.24170961194</x:v>
      </x:c>
      <x:c r="W22" s="304" t="n">
        <x:f>T22+V22</x:f>
        <x:v>447857.5632801592</x:v>
      </x:c>
      <x:c r="X22" s="304" t="n">
        <x:f>IF(W22&gt;0,P22/W22,1)</x:f>
        <x:v>1.7654245389869896</x:v>
      </x:c>
    </x:row>
    <x:row r="23">
      <x:c r="A23" s="137" t="n">
        <x:f>A22+1</x:f>
        <x:v>2044</x:v>
      </x:c>
      <x:c r="B23" s="137" t="n">
        <x:f>A23-'Parámetros'!$B5+1</x:f>
        <x:v>19</x:v>
      </x:c>
      <x:c r="C23" s="137" t="str">
        <x:f>IF(B23&lt;='Parámetros'!$B12,"Acumulación","Maduración")</x:f>
        <x:v>Maduración</x:v>
      </x:c>
      <x:c r="D23" s="301" t="n">
        <x:f>IF(B23&lt;='Senda estatutaria'!$B$5,'Senda estatutaria'!$C$5,IF(B23&lt;='Senda estatutaria'!$B$6,'Senda estatutaria'!$C$6,IF(B23&lt;='Senda estatutaria'!$B$7,'Senda estatutaria'!$C$7,IF(B23&lt;='Senda estatutaria'!$B$8,'Senda estatutaria'!$C$8,IF(B23&lt;='Senda estatutaria'!$B$9,'Senda estatutaria'!$C$9,'Senda estatutaria'!$C$10)))))</x:f>
        <x:v>0.025</x:v>
      </x:c>
      <x:c r="E23" s="302" t="n">
        <x:f>P22</x:f>
        <x:v>790658.7321857116</x:v>
      </x:c>
      <x:c r="F23" s="302" t="n">
        <x:f>'Parámetros'!$B7*'Parámetros'!$B9/'Parámetros'!$B8</x:f>
        <x:v>2200000</x:v>
      </x:c>
      <x:c r="G23" s="302" t="n">
        <x:f>(1+'Parámetros'!$B10)^(B23-1)</x:f>
        <x:v>1.154222611450146</x:v>
      </x:c>
      <x:c r="H23" s="302" t="n">
        <x:f>F23*D23*G23</x:f>
        <x:v>63482.24362975803</x:v>
      </x:c>
      <x:c r="I23" s="302" t="n">
        <x:f>'Parámetros'!$B16*'Parámetros'!$B19+'Parámetros'!$B17*'Parámetros'!$B20+'Parámetros'!$B18*'Parámetros'!$B21</x:f>
        <x:v>0.035800000000000005</x:v>
      </x:c>
      <x:c r="J23" s="302" t="n">
        <x:f>E23*I23</x:f>
        <x:v>28305.58261224848</x:v>
      </x:c>
      <x:c r="K23" s="302" t="n">
        <x:f>E23*'Parámetros'!$B11</x:f>
        <x:v>1423.1857179342808</x:v>
      </x:c>
      <x:c r="L23" s="302" t="n">
        <x:f>AVERAGE(E19:E23)</x:f>
        <x:v>623415.847151588</x:v>
      </x:c>
      <x:c r="M23" s="302" t="n">
        <x:f>'Parámetros'!$B15*MAX(0,Q22-R22)</x:f>
        <x:v>585414.4239216592</x:v>
      </x:c>
      <x:c r="N23" s="302" t="n">
        <x:f>IF(B23&lt;='Parámetros'!$B12,0,'Parámetros'!$B13*L23)</x:f>
        <x:v>9351.237707273818</x:v>
      </x:c>
      <x:c r="O23" s="302" t="n">
        <x:f>MIN(N23,MAX(0,E23+J23-K23-M23))</x:f>
        <x:v>9351.237707273818</x:v>
      </x:c>
      <x:c r="P23" s="303" t="n">
        <x:f>MAX(0,E23+J23-K23)-O23+H23</x:f>
        <x:v>871672.13500251</x:v>
      </x:c>
      <x:c r="Q23" s="302" t="n">
        <x:f>Q22+H23</x:f>
        <x:v>713942.7146538238</x:v>
      </x:c>
      <x:c r="R23" s="302" t="n">
        <x:f>R22+O23</x:f>
        <x:v>9351.237707273818</x:v>
      </x:c>
      <x:c r="S23" s="127" t="b">
        <x:f>O23&lt;N23</x:f>
        <x:v>0</x:v>
      </x:c>
      <x:c r="T23" s="304" t="n">
        <x:f>W22</x:f>
        <x:v>447857.5632801592</x:v>
      </x:c>
      <x:c r="U23" s="304" t="n">
        <x:f>IF(T23&lt;=0,1,(MAX(0,E23+J23-K23)-O23)/T23)</x:f>
        <x:v>1.8045690363102909</x:v>
      </x:c>
      <x:c r="V23" s="304" t="n">
        <x:f>IF(U23&gt;0,H23/U23,0)</x:f>
        <x:v>35178.61736093893</x:v>
      </x:c>
      <x:c r="W23" s="304" t="n">
        <x:f>T23+V23</x:f>
        <x:v>483036.1806410981</x:v>
      </x:c>
      <x:c r="X23" s="304" t="n">
        <x:f>IF(W23&gt;0,P23/W23,1)</x:f>
        <x:v>1.8045690363102909</x:v>
      </x:c>
    </x:row>
    <x:row r="24">
      <x:c r="A24" s="137" t="n">
        <x:f>A23+1</x:f>
        <x:v>2045</x:v>
      </x:c>
      <x:c r="B24" s="137" t="n">
        <x:f>A24-'Parámetros'!$B5+1</x:f>
        <x:v>20</x:v>
      </x:c>
      <x:c r="C24" s="137" t="str">
        <x:f>IF(B24&lt;='Parámetros'!$B12,"Acumulación","Maduración")</x:f>
        <x:v>Maduración</x:v>
      </x:c>
      <x:c r="D24" s="301" t="n">
        <x:f>IF(B24&lt;='Senda estatutaria'!$B$5,'Senda estatutaria'!$C$5,IF(B24&lt;='Senda estatutaria'!$B$6,'Senda estatutaria'!$C$6,IF(B24&lt;='Senda estatutaria'!$B$7,'Senda estatutaria'!$C$7,IF(B24&lt;='Senda estatutaria'!$B$8,'Senda estatutaria'!$C$8,IF(B24&lt;='Senda estatutaria'!$B$9,'Senda estatutaria'!$C$9,'Senda estatutaria'!$C$10)))))</x:f>
        <x:v>0.025</x:v>
      </x:c>
      <x:c r="E24" s="302" t="n">
        <x:f>P23</x:f>
        <x:v>871672.13500251</x:v>
      </x:c>
      <x:c r="F24" s="302" t="n">
        <x:f>'Parámetros'!$B7*'Parámetros'!$B9/'Parámetros'!$B8</x:f>
        <x:v>2200000</x:v>
      </x:c>
      <x:c r="G24" s="302" t="n">
        <x:f>(1+'Parámetros'!$B10)^(B24-1)</x:f>
        <x:v>1.163456392341747</x:v>
      </x:c>
      <x:c r="H24" s="302" t="n">
        <x:f>F24*D24*G24</x:f>
        <x:v>63990.10157879608</x:v>
      </x:c>
      <x:c r="I24" s="302" t="n">
        <x:f>'Parámetros'!$B16*'Parámetros'!$B19+'Parámetros'!$B17*'Parámetros'!$B20+'Parámetros'!$B18*'Parámetros'!$B21</x:f>
        <x:v>0.035800000000000005</x:v>
      </x:c>
      <x:c r="J24" s="302" t="n">
        <x:f>E24*I24</x:f>
        <x:v>31205.862433089864</x:v>
      </x:c>
      <x:c r="K24" s="302" t="n">
        <x:f>E24*'Parámetros'!$B11</x:f>
        <x:v>1569.009843004518</x:v>
      </x:c>
      <x:c r="L24" s="302" t="n">
        <x:f>AVERAGE(E20:E24)</x:f>
        <x:v>705224.2929566856</x:v>
      </x:c>
      <x:c r="M24" s="302" t="n">
        <x:f>'Parámetros'!$B15*MAX(0,Q23-R23)</x:f>
        <x:v>634132.329251895</x:v>
      </x:c>
      <x:c r="N24" s="302" t="n">
        <x:f>IF(B24&lt;='Parámetros'!$B12,0,'Parámetros'!$B13*L24)</x:f>
        <x:v>10578.364394350285</x:v>
      </x:c>
      <x:c r="O24" s="302" t="n">
        <x:f>MIN(N24,MAX(0,E24+J24-K24-M24))</x:f>
        <x:v>10578.364394350285</x:v>
      </x:c>
      <x:c r="P24" s="303" t="n">
        <x:f>MAX(0,E24+J24-K24)-O24+H24</x:f>
        <x:v>954720.7247770411</x:v>
      </x:c>
      <x:c r="Q24" s="302" t="n">
        <x:f>Q23+H24</x:f>
        <x:v>777932.8162326198</x:v>
      </x:c>
      <x:c r="R24" s="302" t="n">
        <x:f>R23+O24</x:f>
        <x:v>19929.602101624103</x:v>
      </x:c>
      <x:c r="S24" s="127" t="b">
        <x:f>O24&lt;N24</x:f>
        <x:v>0</x:v>
      </x:c>
      <x:c r="T24" s="304" t="n">
        <x:f>W23</x:f>
        <x:v>483036.1806410981</x:v>
      </x:c>
      <x:c r="U24" s="304" t="n">
        <x:f>IF(T24&lt;=0,1,(MAX(0,E24+J24-K24)-O24)/T24)</x:f>
        <x:v>1.8440246484560314</x:v>
      </x:c>
      <x:c r="V24" s="304" t="n">
        <x:f>IF(U24&gt;0,H24/U24,0)</x:f>
        <x:v>34701.326596894374</x:v>
      </x:c>
      <x:c r="W24" s="304" t="n">
        <x:f>T24+V24</x:f>
        <x:v>517737.5072379925</x:v>
      </x:c>
      <x:c r="X24" s="304" t="n">
        <x:f>IF(W24&gt;0,P24/W24,1)</x:f>
        <x:v>1.8440246484560314</x:v>
      </x:c>
    </x:row>
    <x:row r="25">
      <x:c r="A25" s="137" t="n">
        <x:f>A24+1</x:f>
        <x:v>2046</x:v>
      </x:c>
      <x:c r="B25" s="137" t="n">
        <x:f>A25-'Parámetros'!$B5+1</x:f>
        <x:v>21</x:v>
      </x:c>
      <x:c r="C25" s="137" t="str">
        <x:f>IF(B25&lt;='Parámetros'!$B12,"Acumulación","Maduración")</x:f>
        <x:v>Maduración</x:v>
      </x:c>
      <x:c r="D25" s="301" t="n">
        <x:f>IF(B25&lt;='Senda estatutaria'!$B$5,'Senda estatutaria'!$C$5,IF(B25&lt;='Senda estatutaria'!$B$6,'Senda estatutaria'!$C$6,IF(B25&lt;='Senda estatutaria'!$B$7,'Senda estatutaria'!$C$7,IF(B25&lt;='Senda estatutaria'!$B$8,'Senda estatutaria'!$C$8,IF(B25&lt;='Senda estatutaria'!$B$9,'Senda estatutaria'!$C$9,'Senda estatutaria'!$C$10)))))</x:f>
        <x:v>0.025</x:v>
      </x:c>
      <x:c r="E25" s="302" t="n">
        <x:f>P24</x:f>
        <x:v>954720.7247770411</x:v>
      </x:c>
      <x:c r="F25" s="302" t="n">
        <x:f>'Parámetros'!$B7*'Parámetros'!$B9/'Parámetros'!$B8</x:f>
        <x:v>2200000</x:v>
      </x:c>
      <x:c r="G25" s="302" t="n">
        <x:f>(1+'Parámetros'!$B10)^(B25-1)</x:f>
        <x:v>1.172764043480481</x:v>
      </x:c>
      <x:c r="H25" s="302" t="n">
        <x:f>F25*D25*G25</x:f>
        <x:v>64502.02239142645</x:v>
      </x:c>
      <x:c r="I25" s="302" t="n">
        <x:f>'Parámetros'!$B16*'Parámetros'!$B19+'Parámetros'!$B17*'Parámetros'!$B20+'Parámetros'!$B18*'Parámetros'!$B21</x:f>
        <x:v>0.035800000000000005</x:v>
      </x:c>
      <x:c r="J25" s="302" t="n">
        <x:f>E25*I25</x:f>
        <x:v>34179.00194701808</x:v>
      </x:c>
      <x:c r="K25" s="302" t="n">
        <x:f>E25*'Parámetros'!$B11</x:f>
        <x:v>1718.497304598674</x:v>
      </x:c>
      <x:c r="L25" s="302" t="n">
        <x:f>AVERAGE(E21:E25)</x:f>
        <x:v>788198.4134766337</x:v>
      </x:c>
      <x:c r="M25" s="302" t="n">
        <x:f>'Parámetros'!$B15*MAX(0,Q24-R24)</x:f>
        <x:v>682202.8927178961</x:v>
      </x:c>
      <x:c r="N25" s="302" t="n">
        <x:f>IF(B25&lt;='Parámetros'!$B12,0,'Parámetros'!$B13*L25)</x:f>
        <x:v>11822.976202149506</x:v>
      </x:c>
      <x:c r="O25" s="302" t="n">
        <x:f>MIN(N25,MAX(0,E25+J25-K25-M25))</x:f>
        <x:v>11822.976202149506</x:v>
      </x:c>
      <x:c r="P25" s="303" t="n">
        <x:f>MAX(0,E25+J25-K25)-O25+H25</x:f>
        <x:v>1039860.2756087375</x:v>
      </x:c>
      <x:c r="Q25" s="302" t="n">
        <x:f>Q24+H25</x:f>
        <x:v>842434.8386240463</x:v>
      </x:c>
      <x:c r="R25" s="302" t="n">
        <x:f>R24+O25</x:f>
        <x:v>31752.57830377361</x:v>
      </x:c>
      <x:c r="S25" s="127" t="b">
        <x:f>O25&lt;N25</x:f>
        <x:v>0</x:v>
      </x:c>
      <x:c r="T25" s="304" t="n">
        <x:f>W24</x:f>
        <x:v>517737.5072379925</x:v>
      </x:c>
      <x:c r="U25" s="304" t="n">
        <x:f>IF(T25&lt;=0,1,(MAX(0,E25+J25-K25)-O25)/T25)</x:f>
        <x:v>1.8838856362186647</x:v>
      </x:c>
      <x:c r="V25" s="304" t="n">
        <x:f>IF(U25&gt;0,H25/U25,0)</x:f>
        <x:v>34238.820632920644</x:v>
      </x:c>
      <x:c r="W25" s="304" t="n">
        <x:f>T25+V25</x:f>
        <x:v>551976.3278709131</x:v>
      </x:c>
      <x:c r="X25" s="304" t="n">
        <x:f>IF(W25&gt;0,P25/W25,1)</x:f>
        <x:v>1.883885636218665</x:v>
      </x:c>
    </x:row>
    <x:row r="26">
      <x:c r="A26" s="137" t="n">
        <x:f>A25+1</x:f>
        <x:v>2047</x:v>
      </x:c>
      <x:c r="B26" s="137" t="n">
        <x:f>A26-'Parámetros'!$B5+1</x:f>
        <x:v>22</x:v>
      </x:c>
      <x:c r="C26" s="137" t="str">
        <x:f>IF(B26&lt;='Parámetros'!$B12,"Acumulación","Maduración")</x:f>
        <x:v>Maduración</x:v>
      </x:c>
      <x:c r="D26" s="301" t="n">
        <x:f>IF(B26&lt;='Senda estatutaria'!$B$5,'Senda estatutaria'!$C$5,IF(B26&lt;='Senda estatutaria'!$B$6,'Senda estatutaria'!$C$6,IF(B26&lt;='Senda estatutaria'!$B$7,'Senda estatutaria'!$C$7,IF(B26&lt;='Senda estatutaria'!$B$8,'Senda estatutaria'!$C$8,IF(B26&lt;='Senda estatutaria'!$B$9,'Senda estatutaria'!$C$9,'Senda estatutaria'!$C$10)))))</x:f>
        <x:v>0.025</x:v>
      </x:c>
      <x:c r="E26" s="302" t="n">
        <x:f>P25</x:f>
        <x:v>1039860.2756087375</x:v>
      </x:c>
      <x:c r="F26" s="302" t="n">
        <x:f>'Parámetros'!$B7*'Parámetros'!$B9/'Parámetros'!$B8</x:f>
        <x:v>2200000</x:v>
      </x:c>
      <x:c r="G26" s="302" t="n">
        <x:f>(1+'Parámetros'!$B10)^(B26-1)</x:f>
        <x:v>1.1821461558283248</x:v>
      </x:c>
      <x:c r="H26" s="302" t="n">
        <x:f>F26*D26*G26</x:f>
        <x:v>65018.03857055787</x:v>
      </x:c>
      <x:c r="I26" s="302" t="n">
        <x:f>'Parámetros'!$B16*'Parámetros'!$B19+'Parámetros'!$B17*'Parámetros'!$B20+'Parámetros'!$B18*'Parámetros'!$B21</x:f>
        <x:v>0.035800000000000005</x:v>
      </x:c>
      <x:c r="J26" s="302" t="n">
        <x:f>E26*I26</x:f>
        <x:v>37226.99786679281</x:v>
      </x:c>
      <x:c r="K26" s="302" t="n">
        <x:f>E26*'Parámetros'!$B11</x:f>
        <x:v>1871.7484960957274</x:v>
      </x:c>
      <x:c r="L26" s="302" t="n">
        <x:f>AVERAGE(E22:E26)</x:f>
        <x:v>872132.9181736682</x:v>
      </x:c>
      <x:c r="M26" s="302" t="n">
        <x:f>'Parámetros'!$B15*MAX(0,Q25-R25)</x:f>
        <x:v>729614.0342882454</x:v>
      </x:c>
      <x:c r="N26" s="302" t="n">
        <x:f>IF(B26&lt;='Parámetros'!$B12,0,'Parámetros'!$B13*L26)</x:f>
        <x:v>13081.993772605023</x:v>
      </x:c>
      <x:c r="O26" s="302" t="n">
        <x:f>MIN(N26,MAX(0,E26+J26-K26-M26))</x:f>
        <x:v>13081.993772605023</x:v>
      </x:c>
      <x:c r="P26" s="303" t="n">
        <x:f>MAX(0,E26+J26-K26)-O26+H26</x:f>
        <x:v>1127151.5697773877</x:v>
      </x:c>
      <x:c r="Q26" s="302" t="n">
        <x:f>Q25+H26</x:f>
        <x:v>907452.8771946041</x:v>
      </x:c>
      <x:c r="R26" s="302" t="n">
        <x:f>R25+O26</x:f>
        <x:v>44834.57207637864</x:v>
      </x:c>
      <x:c r="S26" s="127" t="b">
        <x:f>O26&lt;N26</x:f>
        <x:v>0</x:v>
      </x:c>
      <x:c r="T26" s="304" t="n">
        <x:f>W25</x:f>
        <x:v>551976.3278709131</x:v>
      </x:c>
      <x:c r="U26" s="304" t="n">
        <x:f>IF(T26&lt;=0,1,(MAX(0,E26+J26-K26)-O26)/T26)</x:f>
        <x:v>1.9242374673995506</x:v>
      </x:c>
      <x:c r="V26" s="304" t="n">
        <x:f>IF(U26&gt;0,H26/U26,0)</x:f>
        <x:v>33788.98897464273</x:v>
      </x:c>
      <x:c r="W26" s="304" t="n">
        <x:f>T26+V26</x:f>
        <x:v>585765.3168455558</x:v>
      </x:c>
      <x:c r="X26" s="304" t="n">
        <x:f>IF(W26&gt;0,P26/W26,1)</x:f>
        <x:v>1.9242374673995508</x:v>
      </x:c>
    </x:row>
    <x:row r="27">
      <x:c r="A27" s="137" t="n">
        <x:f>A26+1</x:f>
        <x:v>2048</x:v>
      </x:c>
      <x:c r="B27" s="137" t="n">
        <x:f>A27-'Parámetros'!$B5+1</x:f>
        <x:v>23</x:v>
      </x:c>
      <x:c r="C27" s="137" t="str">
        <x:f>IF(B27&lt;='Parámetros'!$B12,"Acumulación","Maduración")</x:f>
        <x:v>Maduración</x:v>
      </x:c>
      <x:c r="D27" s="301" t="n">
        <x:f>IF(B27&lt;='Senda estatutaria'!$B$5,'Senda estatutaria'!$C$5,IF(B27&lt;='Senda estatutaria'!$B$6,'Senda estatutaria'!$C$6,IF(B27&lt;='Senda estatutaria'!$B$7,'Senda estatutaria'!$C$7,IF(B27&lt;='Senda estatutaria'!$B$8,'Senda estatutaria'!$C$8,IF(B27&lt;='Senda estatutaria'!$B$9,'Senda estatutaria'!$C$9,'Senda estatutaria'!$C$10)))))</x:f>
        <x:v>0.025</x:v>
      </x:c>
      <x:c r="E27" s="302" t="n">
        <x:f>P26</x:f>
        <x:v>1127151.5697773877</x:v>
      </x:c>
      <x:c r="F27" s="302" t="n">
        <x:f>'Parámetros'!$B7*'Parámetros'!$B9/'Parámetros'!$B8</x:f>
        <x:v>2200000</x:v>
      </x:c>
      <x:c r="G27" s="302" t="n">
        <x:f>(1+'Parámetros'!$B10)^(B27-1)</x:f>
        <x:v>1.1916033250749514</x:v>
      </x:c>
      <x:c r="H27" s="302" t="n">
        <x:f>F27*D27*G27</x:f>
        <x:v>65538.18287912232</x:v>
      </x:c>
      <x:c r="I27" s="302" t="n">
        <x:f>'Parámetros'!$B16*'Parámetros'!$B19+'Parámetros'!$B17*'Parámetros'!$B20+'Parámetros'!$B18*'Parámetros'!$B21</x:f>
        <x:v>0.035800000000000005</x:v>
      </x:c>
      <x:c r="J27" s="302" t="n">
        <x:f>E27*I27</x:f>
        <x:v>40352.026198030486</x:v>
      </x:c>
      <x:c r="K27" s="302" t="n">
        <x:f>E27*'Parámetros'!$B11</x:f>
        <x:v>2028.8728255992978</x:v>
      </x:c>
      <x:c r="L27" s="302" t="n">
        <x:f>AVERAGE(E23:E27)</x:f>
        <x:v>956812.6874702775</x:v>
      </x:c>
      <x:c r="M27" s="302" t="n">
        <x:f>'Parámetros'!$B15*MAX(0,Q26-R26)</x:f>
        <x:v>776356.474606403</x:v>
      </x:c>
      <x:c r="N27" s="302" t="n">
        <x:f>IF(B27&lt;='Parámetros'!$B12,0,'Parámetros'!$B13*L27)</x:f>
        <x:v>14352.190312054163</x:v>
      </x:c>
      <x:c r="O27" s="302" t="n">
        <x:f>MIN(N27,MAX(0,E27+J27-K27-M27))</x:f>
        <x:v>14352.190312054163</x:v>
      </x:c>
      <x:c r="P27" s="303" t="n">
        <x:f>MAX(0,E27+J27-K27)-O27+H27</x:f>
        <x:v>1216660.7157168868</x:v>
      </x:c>
      <x:c r="Q27" s="302" t="n">
        <x:f>Q26+H27</x:f>
        <x:v>972991.0600737265</x:v>
      </x:c>
      <x:c r="R27" s="302" t="n">
        <x:f>R26+O27</x:f>
        <x:v>59186.7623884328</x:v>
      </x:c>
      <x:c r="S27" s="127" t="b">
        <x:f>O27&lt;N27</x:f>
        <x:v>0</x:v>
      </x:c>
      <x:c r="T27" s="304" t="n">
        <x:f>W26</x:f>
        <x:v>585765.3168455558</x:v>
      </x:c>
      <x:c r="U27" s="304" t="n">
        <x:f>IF(T27&lt;=0,1,(MAX(0,E27+J27-K27)-O27)/T27)</x:f>
        <x:v>1.9651599364686732</x:v>
      </x:c>
      <x:c r="V27" s="304" t="n">
        <x:f>IF(U27&gt;0,H27/U27,0)</x:f>
        <x:v>33350.05037650638</x:v>
      </x:c>
      <x:c r="W27" s="304" t="n">
        <x:f>T27+V27</x:f>
        <x:v>619115.3672220622</x:v>
      </x:c>
      <x:c r="X27" s="304" t="n">
        <x:f>IF(W27&gt;0,P27/W27,1)</x:f>
        <x:v>1.965159936468673</x:v>
      </x:c>
    </x:row>
    <x:row r="28">
      <x:c r="A28" s="137" t="n">
        <x:f>A27+1</x:f>
        <x:v>2049</x:v>
      </x:c>
      <x:c r="B28" s="137" t="n">
        <x:f>A28-'Parámetros'!$B5+1</x:f>
        <x:v>24</x:v>
      </x:c>
      <x:c r="C28" s="137" t="str">
        <x:f>IF(B28&lt;='Parámetros'!$B12,"Acumulación","Maduración")</x:f>
        <x:v>Maduración</x:v>
      </x:c>
      <x:c r="D28" s="301" t="n">
        <x:f>IF(B28&lt;='Senda estatutaria'!$B$5,'Senda estatutaria'!$C$5,IF(B28&lt;='Senda estatutaria'!$B$6,'Senda estatutaria'!$C$6,IF(B28&lt;='Senda estatutaria'!$B$7,'Senda estatutaria'!$C$7,IF(B28&lt;='Senda estatutaria'!$B$8,'Senda estatutaria'!$C$8,IF(B28&lt;='Senda estatutaria'!$B$9,'Senda estatutaria'!$C$9,'Senda estatutaria'!$C$10)))))</x:f>
        <x:v>0.025</x:v>
      </x:c>
      <x:c r="E28" s="302" t="n">
        <x:f>P27</x:f>
        <x:v>1216660.7157168868</x:v>
      </x:c>
      <x:c r="F28" s="302" t="n">
        <x:f>'Parámetros'!$B7*'Parámetros'!$B9/'Parámetros'!$B8</x:f>
        <x:v>2200000</x:v>
      </x:c>
      <x:c r="G28" s="302" t="n">
        <x:f>(1+'Parámetros'!$B10)^(B28-1)</x:f>
        <x:v>1.201136151675551</x:v>
      </x:c>
      <x:c r="H28" s="302" t="n">
        <x:f>F28*D28*G28</x:f>
        <x:v>66062.48834215531</x:v>
      </x:c>
      <x:c r="I28" s="302" t="n">
        <x:f>'Parámetros'!$B16*'Parámetros'!$B19+'Parámetros'!$B17*'Parámetros'!$B20+'Parámetros'!$B18*'Parámetros'!$B21</x:f>
        <x:v>0.035800000000000005</x:v>
      </x:c>
      <x:c r="J28" s="302" t="n">
        <x:f>E28*I28</x:f>
        <x:v>43556.45362266455</x:v>
      </x:c>
      <x:c r="K28" s="302" t="n">
        <x:f>E28*'Parámetros'!$B11</x:f>
        <x:v>2189.989288290396</x:v>
      </x:c>
      <x:c r="L28" s="302" t="n">
        <x:f>AVERAGE(E24:E28)</x:f>
        <x:v>1042013.0841765127</x:v>
      </x:c>
      <x:c r="M28" s="302" t="n">
        <x:f>'Parámetros'!$B15*MAX(0,Q27-R27)</x:f>
        <x:v>822423.8679167643</x:v>
      </x:c>
      <x:c r="N28" s="302" t="n">
        <x:f>IF(B28&lt;='Parámetros'!$B12,0,'Parámetros'!$B13*L28)</x:f>
        <x:v>15630.196262647689</x:v>
      </x:c>
      <x:c r="O28" s="302" t="n">
        <x:f>MIN(N28,MAX(0,E28+J28-K28-M28))</x:f>
        <x:v>15630.196262647689</x:v>
      </x:c>
      <x:c r="P28" s="303" t="n">
        <x:f>MAX(0,E28+J28-K28)-O28+H28</x:f>
        <x:v>1308459.4721307685</x:v>
      </x:c>
      <x:c r="Q28" s="302" t="n">
        <x:f>Q27+H28</x:f>
        <x:v>1039053.5484158818</x:v>
      </x:c>
      <x:c r="R28" s="302" t="n">
        <x:f>R27+O28</x:f>
        <x:v>74816.9586510805</x:v>
      </x:c>
      <x:c r="S28" s="127" t="b">
        <x:f>O28&lt;N28</x:f>
        <x:v>0</x:v>
      </x:c>
      <x:c r="T28" s="304" t="n">
        <x:f>W27</x:f>
        <x:v>619115.3672220622</x:v>
      </x:c>
      <x:c r="U28" s="304" t="n">
        <x:f>IF(T28&lt;=0,1,(MAX(0,E28+J28-K28)-O28)/T28)</x:f>
        <x:v>2.0067293586382497</x:v>
      </x:c>
      <x:c r="V28" s="304" t="n">
        <x:f>IF(U28&gt;0,H28/U28,0)</x:f>
        <x:v>32920.477321857084</x:v>
      </x:c>
      <x:c r="W28" s="304" t="n">
        <x:f>T28+V28</x:f>
        <x:v>652035.8445439193</x:v>
      </x:c>
      <x:c r="X28" s="304" t="n">
        <x:f>IF(W28&gt;0,P28/W28,1)</x:f>
        <x:v>2.0067293586382493</x:v>
      </x:c>
    </x:row>
    <x:row r="29">
      <x:c r="A29" s="137" t="n">
        <x:f>A28+1</x:f>
        <x:v>2050</x:v>
      </x:c>
      <x:c r="B29" s="137" t="n">
        <x:f>A29-'Parámetros'!$B5+1</x:f>
        <x:v>25</x:v>
      </x:c>
      <x:c r="C29" s="137" t="str">
        <x:f>IF(B29&lt;='Parámetros'!$B12,"Acumulación","Maduración")</x:f>
        <x:v>Maduración</x:v>
      </x:c>
      <x:c r="D29" s="301" t="n">
        <x:f>IF(B29&lt;='Senda estatutaria'!$B$5,'Senda estatutaria'!$C$5,IF(B29&lt;='Senda estatutaria'!$B$6,'Senda estatutaria'!$C$6,IF(B29&lt;='Senda estatutaria'!$B$7,'Senda estatutaria'!$C$7,IF(B29&lt;='Senda estatutaria'!$B$8,'Senda estatutaria'!$C$8,IF(B29&lt;='Senda estatutaria'!$B$9,'Senda estatutaria'!$C$9,'Senda estatutaria'!$C$10)))))</x:f>
        <x:v>0.025</x:v>
      </x:c>
      <x:c r="E29" s="302" t="n">
        <x:f>P28</x:f>
        <x:v>1308459.4721307685</x:v>
      </x:c>
      <x:c r="F29" s="302" t="n">
        <x:f>'Parámetros'!$B7*'Parámetros'!$B9/'Parámetros'!$B8</x:f>
        <x:v>2200000</x:v>
      </x:c>
      <x:c r="G29" s="302" t="n">
        <x:f>(1+'Parámetros'!$B10)^(B29-1)</x:f>
        <x:v>1.2107452408889554</x:v>
      </x:c>
      <x:c r="H29" s="302" t="n">
        <x:f>F29*D29*G29</x:f>
        <x:v>66590.98824889255</x:v>
      </x:c>
      <x:c r="I29" s="302" t="n">
        <x:f>'Parámetros'!$B16*'Parámetros'!$B19+'Parámetros'!$B17*'Parámetros'!$B20+'Parámetros'!$B18*'Parámetros'!$B21</x:f>
        <x:v>0.035800000000000005</x:v>
      </x:c>
      <x:c r="J29" s="302" t="n">
        <x:f>E29*I29</x:f>
        <x:v>46842.84910228152</x:v>
      </x:c>
      <x:c r="K29" s="302" t="n">
        <x:f>E29*'Parámetros'!$B11</x:f>
        <x:v>2355.2270498353832</x:v>
      </x:c>
      <x:c r="L29" s="302" t="n">
        <x:f>AVERAGE(E25:E29)</x:f>
        <x:v>1129370.5516021643</x:v>
      </x:c>
      <x:c r="M29" s="302" t="n">
        <x:f>'Parámetros'!$B15*MAX(0,Q28-R28)</x:f>
        <x:v>867812.9307883212</x:v>
      </x:c>
      <x:c r="N29" s="302" t="n">
        <x:f>IF(B29&lt;='Parámetros'!$B12,0,'Parámetros'!$B13*L29)</x:f>
        <x:v>16940.558274032464</x:v>
      </x:c>
      <x:c r="O29" s="302" t="n">
        <x:f>MIN(N29,MAX(0,E29+J29-K29-M29))</x:f>
        <x:v>16940.558274032464</x:v>
      </x:c>
      <x:c r="P29" s="303" t="n">
        <x:f>MAX(0,E29+J29-K29)-O29+H29</x:f>
        <x:v>1402597.5241580745</x:v>
      </x:c>
      <x:c r="Q29" s="302" t="n">
        <x:f>Q28+H29</x:f>
        <x:v>1105644.5366647744</x:v>
      </x:c>
      <x:c r="R29" s="302" t="n">
        <x:f>R28+O29</x:f>
        <x:v>91757.51692511296</x:v>
      </x:c>
      <x:c r="S29" s="127" t="b">
        <x:f>O29&lt;N29</x:f>
        <x:v>0</x:v>
      </x:c>
      <x:c r="T29" s="304" t="n">
        <x:f>W28</x:f>
        <x:v>652035.8445439193</x:v>
      </x:c>
      <x:c r="U29" s="304" t="n">
        <x:f>IF(T29&lt;=0,1,(MAX(0,E29+J29-K29)-O29)/T29)</x:f>
        <x:v>2.048977133831777</x:v>
      </x:c>
      <x:c r="V29" s="304" t="n">
        <x:f>IF(U29&gt;0,H29/U29,0)</x:f>
        <x:v>32499.624885691737</x:v>
      </x:c>
      <x:c r="W29" s="304" t="n">
        <x:f>T29+V29</x:f>
        <x:v>684535.469429611</x:v>
      </x:c>
      <x:c r="X29" s="304" t="n">
        <x:f>IF(W29&gt;0,P29/W29,1)</x:f>
        <x:v>2.048977133831777</x:v>
      </x:c>
    </x:row>
    <x:row r="30">
      <x:c r="A30" s="137" t="n">
        <x:f>A29+1</x:f>
        <x:v>2051</x:v>
      </x:c>
      <x:c r="B30" s="137" t="n">
        <x:f>A30-'Parámetros'!$B5+1</x:f>
        <x:v>26</x:v>
      </x:c>
      <x:c r="C30" s="137" t="str">
        <x:f>IF(B30&lt;='Parámetros'!$B12,"Acumulación","Maduración")</x:f>
        <x:v>Maduración</x:v>
      </x:c>
      <x:c r="D30" s="301" t="n">
        <x:f>IF(B30&lt;='Senda estatutaria'!$B$5,'Senda estatutaria'!$C$5,IF(B30&lt;='Senda estatutaria'!$B$6,'Senda estatutaria'!$C$6,IF(B30&lt;='Senda estatutaria'!$B$7,'Senda estatutaria'!$C$7,IF(B30&lt;='Senda estatutaria'!$B$8,'Senda estatutaria'!$C$8,IF(B30&lt;='Senda estatutaria'!$B$9,'Senda estatutaria'!$C$9,'Senda estatutaria'!$C$10)))))</x:f>
        <x:v>0.025</x:v>
      </x:c>
      <x:c r="E30" s="302" t="n">
        <x:f>P29</x:f>
        <x:v>1402597.5241580745</x:v>
      </x:c>
      <x:c r="F30" s="302" t="n">
        <x:f>'Parámetros'!$B7*'Parámetros'!$B9/'Parámetros'!$B8</x:f>
        <x:v>2200000</x:v>
      </x:c>
      <x:c r="G30" s="302" t="n">
        <x:f>(1+'Parámetros'!$B10)^(B30-1)</x:f>
        <x:v>1.220431202816067</x:v>
      </x:c>
      <x:c r="H30" s="302" t="n">
        <x:f>F30*D30*G30</x:f>
        <x:v>67123.71615488369</x:v>
      </x:c>
      <x:c r="I30" s="302" t="n">
        <x:f>'Parámetros'!$B16*'Parámetros'!$B19+'Parámetros'!$B17*'Parámetros'!$B20+'Parámetros'!$B18*'Parámetros'!$B21</x:f>
        <x:v>0.035800000000000005</x:v>
      </x:c>
      <x:c r="J30" s="302" t="n">
        <x:f>E30*I30</x:f>
        <x:v>50212.991364859074</x:v>
      </x:c>
      <x:c r="K30" s="302" t="n">
        <x:f>E30*'Parámetros'!$B11</x:f>
        <x:v>2524.675543484534</x:v>
      </x:c>
      <x:c r="L30" s="302" t="n">
        <x:f>AVERAGE(E26:E30)</x:f>
        <x:v>1218945.911478371</x:v>
      </x:c>
      <x:c r="M30" s="302" t="n">
        <x:f>'Parámetros'!$B15*MAX(0,Q29-R29)</x:f>
        <x:v>912498.3177656954</x:v>
      </x:c>
      <x:c r="N30" s="302" t="n">
        <x:f>IF(B30&lt;='Parámetros'!$B12,0,'Parámetros'!$B13*L30)</x:f>
        <x:v>18284.18867217556</x:v>
      </x:c>
      <x:c r="O30" s="302" t="n">
        <x:f>MIN(N30,MAX(0,E30+J30-K30-M30))</x:f>
        <x:v>18284.18867217556</x:v>
      </x:c>
      <x:c r="P30" s="303" t="n">
        <x:f>MAX(0,E30+J30-K30)-O30+H30</x:f>
        <x:v>1499125.367462157</x:v>
      </x:c>
      <x:c r="Q30" s="302" t="n">
        <x:f>Q29+H30</x:f>
        <x:v>1172768.252819658</x:v>
      </x:c>
      <x:c r="R30" s="302" t="n">
        <x:f>R29+O30</x:f>
        <x:v>110041.70559728851</x:v>
      </x:c>
      <x:c r="S30" s="127" t="b">
        <x:f>O30&lt;N30</x:f>
        <x:v>0</x:v>
      </x:c>
      <x:c r="T30" s="304" t="n">
        <x:f>W29</x:f>
        <x:v>684535.469429611</x:v>
      </x:c>
      <x:c r="U30" s="304" t="n">
        <x:f>IF(T30&lt;=0,1,(MAX(0,E30+J30-K30)-O30)/T30)</x:f>
        <x:v>2.0919319965998087</x:v>
      </x:c>
      <x:c r="V30" s="304" t="n">
        <x:f>IF(U30&gt;0,H30/U30,0)</x:f>
        <x:v>32086.949415174804</x:v>
      </x:c>
      <x:c r="W30" s="304" t="n">
        <x:f>T30+V30</x:f>
        <x:v>716622.4188447858</x:v>
      </x:c>
      <x:c r="X30" s="304" t="n">
        <x:f>IF(W30&gt;0,P30/W30,1)</x:f>
        <x:v>2.0919319965998087</x:v>
      </x:c>
    </x:row>
    <x:row r="31">
      <x:c r="A31" s="137" t="n">
        <x:f>A30+1</x:f>
        <x:v>2052</x:v>
      </x:c>
      <x:c r="B31" s="137" t="n">
        <x:f>A31-'Parámetros'!$B5+1</x:f>
        <x:v>27</x:v>
      </x:c>
      <x:c r="C31" s="137" t="str">
        <x:f>IF(B31&lt;='Parámetros'!$B12,"Acumulación","Maduración")</x:f>
        <x:v>Maduración</x:v>
      </x:c>
      <x:c r="D31" s="301" t="n">
        <x:f>IF(B31&lt;='Senda estatutaria'!$B$5,'Senda estatutaria'!$C$5,IF(B31&lt;='Senda estatutaria'!$B$6,'Senda estatutaria'!$C$6,IF(B31&lt;='Senda estatutaria'!$B$7,'Senda estatutaria'!$C$7,IF(B31&lt;='Senda estatutaria'!$B$8,'Senda estatutaria'!$C$8,IF(B31&lt;='Senda estatutaria'!$B$9,'Senda estatutaria'!$C$9,'Senda estatutaria'!$C$10)))))</x:f>
        <x:v>0.025</x:v>
      </x:c>
      <x:c r="E31" s="302" t="n">
        <x:f>P30</x:f>
        <x:v>1499125.367462157</x:v>
      </x:c>
      <x:c r="F31" s="302" t="n">
        <x:f>'Parámetros'!$B7*'Parámetros'!$B9/'Parámetros'!$B8</x:f>
        <x:v>2200000</x:v>
      </x:c>
      <x:c r="G31" s="302" t="n">
        <x:f>(1+'Parámetros'!$B10)^(B31-1)</x:f>
        <x:v>1.2301946524385956</x:v>
      </x:c>
      <x:c r="H31" s="302" t="n">
        <x:f>F31*D31*G31</x:f>
        <x:v>67660.70588412276</x:v>
      </x:c>
      <x:c r="I31" s="302" t="n">
        <x:f>'Parámetros'!$B16*'Parámetros'!$B19+'Parámetros'!$B17*'Parámetros'!$B20+'Parámetros'!$B18*'Parámetros'!$B21</x:f>
        <x:v>0.035800000000000005</x:v>
      </x:c>
      <x:c r="J31" s="302" t="n">
        <x:f>E31*I31</x:f>
        <x:v>53668.68815514523</x:v>
      </x:c>
      <x:c r="K31" s="302" t="n">
        <x:f>E31*'Parámetros'!$B11</x:f>
        <x:v>2698.4256614318824</x:v>
      </x:c>
      <x:c r="L31" s="302" t="n">
        <x:f>AVERAGE(E27:E31)</x:f>
        <x:v>1310798.929849055</x:v>
      </x:c>
      <x:c r="M31" s="302" t="n">
        <x:f>'Parámetros'!$B15*MAX(0,Q30-R30)</x:f>
        <x:v>956453.8925001327</x:v>
      </x:c>
      <x:c r="N31" s="302" t="n">
        <x:f>IF(B31&lt;='Parámetros'!$B12,0,'Parámetros'!$B13*L31)</x:f>
        <x:v>19661.983947735822</x:v>
      </x:c>
      <x:c r="O31" s="302" t="n">
        <x:f>MIN(N31,MAX(0,E31+J31-K31-M31))</x:f>
        <x:v>19661.983947735822</x:v>
      </x:c>
      <x:c r="P31" s="303" t="n">
        <x:f>MAX(0,E31+J31-K31)-O31+H31</x:f>
        <x:v>1598094.3518922573</x:v>
      </x:c>
      <x:c r="Q31" s="302" t="n">
        <x:f>Q30+H31</x:f>
        <x:v>1240428.9587037808</x:v>
      </x:c>
      <x:c r="R31" s="302" t="n">
        <x:f>R30+O31</x:f>
        <x:v>129703.68954502433</x:v>
      </x:c>
      <x:c r="S31" s="127" t="b">
        <x:f>O31&lt;N31</x:f>
        <x:v>0</x:v>
      </x:c>
      <x:c r="T31" s="304" t="n">
        <x:f>W30</x:f>
        <x:v>716622.4188447858</x:v>
      </x:c>
      <x:c r="U31" s="304" t="n">
        <x:f>IF(T31&lt;=0,1,(MAX(0,E31+J31-K31)-O31)/T31)</x:f>
        <x:v>2.1356206640523947</x:v>
      </x:c>
      <x:c r="V31" s="304" t="n">
        <x:f>IF(U31&gt;0,H31/U31,0)</x:f>
        <x:v>31681.986891686483</x:v>
      </x:c>
      <x:c r="W31" s="304" t="n">
        <x:f>T31+V31</x:f>
        <x:v>748304.4057364722</x:v>
      </x:c>
      <x:c r="X31" s="304" t="n">
        <x:f>IF(W31&gt;0,P31/W31,1)</x:f>
        <x:v>2.1356206640523947</x:v>
      </x:c>
    </x:row>
    <x:row r="32">
      <x:c r="A32" s="137" t="n">
        <x:f>A31+1</x:f>
        <x:v>2053</x:v>
      </x:c>
      <x:c r="B32" s="137" t="n">
        <x:f>A32-'Parámetros'!$B5+1</x:f>
        <x:v>28</x:v>
      </x:c>
      <x:c r="C32" s="137" t="str">
        <x:f>IF(B32&lt;='Parámetros'!$B12,"Acumulación","Maduración")</x:f>
        <x:v>Maduración</x:v>
      </x:c>
      <x:c r="D32" s="301" t="n">
        <x:f>IF(B32&lt;='Senda estatutaria'!$B$5,'Senda estatutaria'!$C$5,IF(B32&lt;='Senda estatutaria'!$B$6,'Senda estatutaria'!$C$6,IF(B32&lt;='Senda estatutaria'!$B$7,'Senda estatutaria'!$C$7,IF(B32&lt;='Senda estatutaria'!$B$8,'Senda estatutaria'!$C$8,IF(B32&lt;='Senda estatutaria'!$B$9,'Senda estatutaria'!$C$9,'Senda estatutaria'!$C$10)))))</x:f>
        <x:v>0.025</x:v>
      </x:c>
      <x:c r="E32" s="302" t="n">
        <x:f>P31</x:f>
        <x:v>1598094.3518922573</x:v>
      </x:c>
      <x:c r="F32" s="302" t="n">
        <x:f>'Parámetros'!$B7*'Parámetros'!$B9/'Parámetros'!$B8</x:f>
        <x:v>2200000</x:v>
      </x:c>
      <x:c r="G32" s="302" t="n">
        <x:f>(1+'Parámetros'!$B10)^(B32-1)</x:f>
        <x:v>1.2400362096581046</x:v>
      </x:c>
      <x:c r="H32" s="302" t="n">
        <x:f>F32*D32*G32</x:f>
        <x:v>68201.99153119574</x:v>
      </x:c>
      <x:c r="I32" s="302" t="n">
        <x:f>'Parámetros'!$B16*'Parámetros'!$B19+'Parámetros'!$B17*'Parámetros'!$B20+'Parámetros'!$B18*'Parámetros'!$B21</x:f>
        <x:v>0.035800000000000005</x:v>
      </x:c>
      <x:c r="J32" s="302" t="n">
        <x:f>E32*I32</x:f>
        <x:v>57211.77779774282</x:v>
      </x:c>
      <x:c r="K32" s="302" t="n">
        <x:f>E32*'Parámetros'!$B11</x:f>
        <x:v>2876.569833406063</x:v>
      </x:c>
      <x:c r="L32" s="302" t="n">
        <x:f>AVERAGE(E28:E32)</x:f>
        <x:v>1404987.4862720289</x:v>
      </x:c>
      <x:c r="M32" s="302" t="n">
        <x:f>'Parámetros'!$B15*MAX(0,Q31-R31)</x:f>
        <x:v>999652.7422428807</x:v>
      </x:c>
      <x:c r="N32" s="302" t="n">
        <x:f>IF(B32&lt;='Parámetros'!$B12,0,'Parámetros'!$B13*L32)</x:f>
        <x:v>21074.81229408043</x:v>
      </x:c>
      <x:c r="O32" s="302" t="n">
        <x:f>MIN(N32,MAX(0,E32+J32-K32-M32))</x:f>
        <x:v>21074.81229408043</x:v>
      </x:c>
      <x:c r="P32" s="303" t="n">
        <x:f>MAX(0,E32+J32-K32)-O32+H32</x:f>
        <x:v>1699556.7390937095</x:v>
      </x:c>
      <x:c r="Q32" s="302" t="n">
        <x:f>Q31+H32</x:f>
        <x:v>1308630.9502349766</x:v>
      </x:c>
      <x:c r="R32" s="302" t="n">
        <x:f>R31+O32</x:f>
        <x:v>150778.50183910475</x:v>
      </x:c>
      <x:c r="S32" s="127" t="b">
        <x:f>O32&lt;N32</x:f>
        <x:v>0</x:v>
      </x:c>
      <x:c r="T32" s="304" t="n">
        <x:f>W31</x:f>
        <x:v>748304.4057364722</x:v>
      </x:c>
      <x:c r="U32" s="304" t="n">
        <x:f>IF(T32&lt;=0,1,(MAX(0,E32+J32-K32)-O32)/T32)</x:f>
        <x:v>2.180068345257107</x:v>
      </x:c>
      <x:c r="V32" s="304" t="n">
        <x:f>IF(U32&gt;0,H32/U32,0)</x:f>
        <x:v>31284.33641980721</x:v>
      </x:c>
      <x:c r="W32" s="304" t="n">
        <x:f>T32+V32</x:f>
        <x:v>779588.7421562794</x:v>
      </x:c>
      <x:c r="X32" s="304" t="n">
        <x:f>IF(W32&gt;0,P32/W32,1)</x:f>
        <x:v>2.1800683452571072</x:v>
      </x:c>
    </x:row>
    <x:row r="33">
      <x:c r="A33" s="137" t="n">
        <x:f>A32+1</x:f>
        <x:v>2054</x:v>
      </x:c>
      <x:c r="B33" s="137" t="n">
        <x:f>A33-'Parámetros'!$B5+1</x:f>
        <x:v>29</x:v>
      </x:c>
      <x:c r="C33" s="137" t="str">
        <x:f>IF(B33&lt;='Parámetros'!$B12,"Acumulación","Maduración")</x:f>
        <x:v>Maduración</x:v>
      </x:c>
      <x:c r="D33" s="301" t="n">
        <x:f>IF(B33&lt;='Senda estatutaria'!$B$5,'Senda estatutaria'!$C$5,IF(B33&lt;='Senda estatutaria'!$B$6,'Senda estatutaria'!$C$6,IF(B33&lt;='Senda estatutaria'!$B$7,'Senda estatutaria'!$C$7,IF(B33&lt;='Senda estatutaria'!$B$8,'Senda estatutaria'!$C$8,IF(B33&lt;='Senda estatutaria'!$B$9,'Senda estatutaria'!$C$9,'Senda estatutaria'!$C$10)))))</x:f>
        <x:v>0.025</x:v>
      </x:c>
      <x:c r="E33" s="302" t="n">
        <x:f>P32</x:f>
        <x:v>1699556.7390937095</x:v>
      </x:c>
      <x:c r="F33" s="302" t="n">
        <x:f>'Parámetros'!$B7*'Parámetros'!$B9/'Parámetros'!$B8</x:f>
        <x:v>2200000</x:v>
      </x:c>
      <x:c r="G33" s="302" t="n">
        <x:f>(1+'Parámetros'!$B10)^(B33-1)</x:f>
        <x:v>1.2499564993353693</x:v>
      </x:c>
      <x:c r="H33" s="302" t="n">
        <x:f>F33*D33*G33</x:f>
        <x:v>68747.60746344531</x:v>
      </x:c>
      <x:c r="I33" s="302" t="n">
        <x:f>'Parámetros'!$B16*'Parámetros'!$B19+'Parámetros'!$B17*'Parámetros'!$B20+'Parámetros'!$B18*'Parámetros'!$B21</x:f>
        <x:v>0.035800000000000005</x:v>
      </x:c>
      <x:c r="J33" s="302" t="n">
        <x:f>E33*I33</x:f>
        <x:v>60844.13125955481</x:v>
      </x:c>
      <x:c r="K33" s="302" t="n">
        <x:f>E33*'Parámetros'!$B11</x:f>
        <x:v>3059.202130368677</x:v>
      </x:c>
      <x:c r="L33" s="302" t="n">
        <x:f>AVERAGE(E29:E33)</x:f>
        <x:v>1501566.6909473934</x:v>
      </x:c>
      <x:c r="M33" s="302" t="n">
        <x:f>'Parámetros'!$B15*MAX(0,Q32-R32)</x:f>
        <x:v>1042067.2035562847</x:v>
      </x:c>
      <x:c r="N33" s="302" t="n">
        <x:f>IF(B33&lt;='Parámetros'!$B12,0,'Parámetros'!$B13*L33)</x:f>
        <x:v>22523.5003642109</x:v>
      </x:c>
      <x:c r="O33" s="302" t="n">
        <x:f>MIN(N33,MAX(0,E33+J33-K33-M33))</x:f>
        <x:v>22523.5003642109</x:v>
      </x:c>
      <x:c r="P33" s="303" t="n">
        <x:f>MAX(0,E33+J33-K33)-O33+H33</x:f>
        <x:v>1803565.77532213</x:v>
      </x:c>
      <x:c r="Q33" s="302" t="n">
        <x:f>Q32+H33</x:f>
        <x:v>1377378.5576984219</x:v>
      </x:c>
      <x:c r="R33" s="302" t="n">
        <x:f>R32+O33</x:f>
        <x:v>173302.00220331564</x:v>
      </x:c>
      <x:c r="S33" s="127" t="b">
        <x:f>O33&lt;N33</x:f>
        <x:v>0</x:v>
      </x:c>
      <x:c r="T33" s="304" t="n">
        <x:f>W32</x:f>
        <x:v>779588.7421562794</x:v>
      </x:c>
      <x:c r="U33" s="304" t="n">
        <x:f>IF(T33&lt;=0,1,(MAX(0,E33+J33-K33)-O33)/T33)</x:f>
        <x:v>2.225299153320657</x:v>
      </x:c>
      <x:c r="V33" s="304" t="n">
        <x:f>IF(U33&gt;0,H33/U33,0)</x:f>
        <x:v>30893.647427519172</x:v>
      </x:c>
      <x:c r="W33" s="304" t="n">
        <x:f>T33+V33</x:f>
        <x:v>810482.3895837986</x:v>
      </x:c>
      <x:c r="X33" s="304" t="n">
        <x:f>IF(W33&gt;0,P33/W33,1)</x:f>
        <x:v>2.225299153320657</x:v>
      </x:c>
    </x:row>
    <x:row r="34">
      <x:c r="A34" s="137" t="n">
        <x:f>A33+1</x:f>
        <x:v>2055</x:v>
      </x:c>
      <x:c r="B34" s="137" t="n">
        <x:f>A34-'Parámetros'!$B5+1</x:f>
        <x:v>30</x:v>
      </x:c>
      <x:c r="C34" s="137" t="str">
        <x:f>IF(B34&lt;='Parámetros'!$B12,"Acumulación","Maduración")</x:f>
        <x:v>Maduración</x:v>
      </x:c>
      <x:c r="D34" s="301" t="n">
        <x:f>IF(B34&lt;='Senda estatutaria'!$B$5,'Senda estatutaria'!$C$5,IF(B34&lt;='Senda estatutaria'!$B$6,'Senda estatutaria'!$C$6,IF(B34&lt;='Senda estatutaria'!$B$7,'Senda estatutaria'!$C$7,IF(B34&lt;='Senda estatutaria'!$B$8,'Senda estatutaria'!$C$8,IF(B34&lt;='Senda estatutaria'!$B$9,'Senda estatutaria'!$C$9,'Senda estatutaria'!$C$10)))))</x:f>
        <x:v>0.025</x:v>
      </x:c>
      <x:c r="E34" s="302" t="n">
        <x:f>P33</x:f>
        <x:v>1803565.77532213</x:v>
      </x:c>
      <x:c r="F34" s="302" t="n">
        <x:f>'Parámetros'!$B7*'Parámetros'!$B9/'Parámetros'!$B8</x:f>
        <x:v>2200000</x:v>
      </x:c>
      <x:c r="G34" s="302" t="n">
        <x:f>(1+'Parámetros'!$B10)^(B34-1)</x:f>
        <x:v>1.2599561513300523</x:v>
      </x:c>
      <x:c r="H34" s="302" t="n">
        <x:f>F34*D34*G34</x:f>
        <x:v>69297.58832315289</x:v>
      </x:c>
      <x:c r="I34" s="302" t="n">
        <x:f>'Parámetros'!$B16*'Parámetros'!$B19+'Parámetros'!$B17*'Parámetros'!$B20+'Parámetros'!$B18*'Parámetros'!$B21</x:f>
        <x:v>0.035800000000000005</x:v>
      </x:c>
      <x:c r="J34" s="302" t="n">
        <x:f>E34*I34</x:f>
        <x:v>64567.65475653226</x:v>
      </x:c>
      <x:c r="K34" s="302" t="n">
        <x:f>E34*'Parámetros'!$B11</x:f>
        <x:v>3246.418395579834</x:v>
      </x:c>
      <x:c r="L34" s="302" t="n">
        <x:f>AVERAGE(E30:E34)</x:f>
        <x:v>1600587.9515856658</x:v>
      </x:c>
      <x:c r="M34" s="302" t="n">
        <x:f>'Parámetros'!$B15*MAX(0,Q33-R33)</x:f>
        <x:v>1083668.8999455955</x:v>
      </x:c>
      <x:c r="N34" s="302" t="n">
        <x:f>IF(B34&lt;='Parámetros'!$B12,0,'Parámetros'!$B13*L34)</x:f>
        <x:v>24008.819273784986</x:v>
      </x:c>
      <x:c r="O34" s="302" t="n">
        <x:f>MIN(N34,MAX(0,E34+J34-K34-M34))</x:f>
        <x:v>24008.819273784986</x:v>
      </x:c>
      <x:c r="P34" s="303" t="n">
        <x:f>MAX(0,E34+J34-K34)-O34+H34</x:f>
        <x:v>1910175.7807324503</x:v>
      </x:c>
      <x:c r="Q34" s="302" t="n">
        <x:f>Q33+H34</x:f>
        <x:v>1446676.1460215747</x:v>
      </x:c>
      <x:c r="R34" s="302" t="n">
        <x:f>R33+O34</x:f>
        <x:v>197310.82147710063</x:v>
      </x:c>
      <x:c r="S34" s="127" t="b">
        <x:f>O34&lt;N34</x:f>
        <x:v>0</x:v>
      </x:c>
      <x:c r="T34" s="304" t="n">
        <x:f>W33</x:f>
        <x:v>810482.3895837986</x:v>
      </x:c>
      <x:c r="U34" s="304" t="n">
        <x:f>IF(T34&lt;=0,1,(MAX(0,E34+J34-K34)-O34)/T34)</x:f>
        <x:v>2.2713364485990013</x:v>
      </x:c>
      <x:c r="V34" s="304" t="n">
        <x:f>IF(U34&gt;0,H34/U34,0)</x:f>
        <x:v>30509.60960270629</x:v>
      </x:c>
      <x:c r="W34" s="304" t="n">
        <x:f>T34+V34</x:f>
        <x:v>840991.9991865049</x:v>
      </x:c>
      <x:c r="X34" s="304" t="n">
        <x:f>IF(W34&gt;0,P34/W34,1)</x:f>
        <x:v>2.2713364485990013</x:v>
      </x:c>
    </x:row>
    <x:row r="35">
      <x:c r="A35" s="137" t="n">
        <x:f>A34+1</x:f>
        <x:v>2056</x:v>
      </x:c>
      <x:c r="B35" s="137" t="n">
        <x:f>A35-'Parámetros'!$B5+1</x:f>
        <x:v>31</x:v>
      </x:c>
      <x:c r="C35" s="137" t="str">
        <x:f>IF(B35&lt;='Parámetros'!$B12,"Acumulación","Maduración")</x:f>
        <x:v>Maduración</x:v>
      </x:c>
      <x:c r="D35" s="301" t="n">
        <x:f>IF(B35&lt;='Senda estatutaria'!$B$5,'Senda estatutaria'!$C$5,IF(B35&lt;='Senda estatutaria'!$B$6,'Senda estatutaria'!$C$6,IF(B35&lt;='Senda estatutaria'!$B$7,'Senda estatutaria'!$C$7,IF(B35&lt;='Senda estatutaria'!$B$8,'Senda estatutaria'!$C$8,IF(B35&lt;='Senda estatutaria'!$B$9,'Senda estatutaria'!$C$9,'Senda estatutaria'!$C$10)))))</x:f>
        <x:v>0.025</x:v>
      </x:c>
      <x:c r="E35" s="302" t="n">
        <x:f>P34</x:f>
        <x:v>1910175.7807324503</x:v>
      </x:c>
      <x:c r="F35" s="302" t="n">
        <x:f>'Parámetros'!$B7*'Parámetros'!$B9/'Parámetros'!$B8</x:f>
        <x:v>2200000</x:v>
      </x:c>
      <x:c r="G35" s="302" t="n">
        <x:f>(1+'Parámetros'!$B10)^(B35-1)</x:f>
        <x:v>1.2700358005406926</x:v>
      </x:c>
      <x:c r="H35" s="302" t="n">
        <x:f>F35*D35*G35</x:f>
        <x:v>69851.9690297381</x:v>
      </x:c>
      <x:c r="I35" s="302" t="n">
        <x:f>'Parámetros'!$B16*'Parámetros'!$B19+'Parámetros'!$B17*'Parámetros'!$B20+'Parámetros'!$B18*'Parámetros'!$B21</x:f>
        <x:v>0.035800000000000005</x:v>
      </x:c>
      <x:c r="J35" s="302" t="n">
        <x:f>E35*I35</x:f>
        <x:v>68384.29295022173</x:v>
      </x:c>
      <x:c r="K35" s="302" t="n">
        <x:f>E35*'Parámetros'!$B11</x:f>
        <x:v>3438.3164053184105</x:v>
      </x:c>
      <x:c r="L35" s="302" t="n">
        <x:f>AVERAGE(E31:E35)</x:f>
        <x:v>1702103.602900541</x:v>
      </x:c>
      <x:c r="M35" s="302" t="n">
        <x:f>'Parámetros'!$B15*MAX(0,Q34-R34)</x:f>
        <x:v>1124428.7920900267</x:v>
      </x:c>
      <x:c r="N35" s="302" t="n">
        <x:f>IF(B35&lt;='Parámetros'!$B12,0,'Parámetros'!$B13*L35)</x:f>
        <x:v>25531.554043508113</x:v>
      </x:c>
      <x:c r="O35" s="302" t="n">
        <x:f>MIN(N35,MAX(0,E35+J35-K35-M35))</x:f>
        <x:v>25531.554043508113</x:v>
      </x:c>
      <x:c r="P35" s="303" t="n">
        <x:f>MAX(0,E35+J35-K35)-O35+H35</x:f>
        <x:v>2019442.1722635836</x:v>
      </x:c>
      <x:c r="Q35" s="302" t="n">
        <x:f>Q34+H35</x:f>
        <x:v>1516528.1150513128</x:v>
      </x:c>
      <x:c r="R35" s="302" t="n">
        <x:f>R34+O35</x:f>
        <x:v>222842.37552060874</x:v>
      </x:c>
      <x:c r="S35" s="127" t="b">
        <x:f>O35&lt;N35</x:f>
        <x:v>0</x:v>
      </x:c>
      <x:c r="T35" s="304" t="n">
        <x:f>W34</x:f>
        <x:v>840991.9991865049</x:v>
      </x:c>
      <x:c r="U35" s="304" t="n">
        <x:f>IF(T35&lt;=0,1,(MAX(0,E35+J35-K35)-O35)/T35)</x:f>
        <x:v>2.3182030329892465</x:v>
      </x:c>
      <x:c r="V35" s="304" t="n">
        <x:f>IF(U35&gt;0,H35/U35,0)</x:f>
        <x:v>30131.946182326526</x:v>
      </x:c>
      <x:c r="W35" s="304" t="n">
        <x:f>T35+V35</x:f>
        <x:v>871123.9453688314</x:v>
      </x:c>
      <x:c r="X35" s="304" t="n">
        <x:f>IF(W35&gt;0,P35/W35,1)</x:f>
        <x:v>2.3182030329892465</x:v>
      </x:c>
    </x:row>
    <x:row r="36">
      <x:c r="A36" s="137" t="n">
        <x:f>A35+1</x:f>
        <x:v>2057</x:v>
      </x:c>
      <x:c r="B36" s="137" t="n">
        <x:f>A36-'Parámetros'!$B5+1</x:f>
        <x:v>32</x:v>
      </x:c>
      <x:c r="C36" s="137" t="str">
        <x:f>IF(B36&lt;='Parámetros'!$B12,"Acumulación","Maduración")</x:f>
        <x:v>Maduración</x:v>
      </x:c>
      <x:c r="D36" s="301" t="n">
        <x:f>IF(B36&lt;='Senda estatutaria'!$B$5,'Senda estatutaria'!$C$5,IF(B36&lt;='Senda estatutaria'!$B$6,'Senda estatutaria'!$C$6,IF(B36&lt;='Senda estatutaria'!$B$7,'Senda estatutaria'!$C$7,IF(B36&lt;='Senda estatutaria'!$B$8,'Senda estatutaria'!$C$8,IF(B36&lt;='Senda estatutaria'!$B$9,'Senda estatutaria'!$C$9,'Senda estatutaria'!$C$10)))))</x:f>
        <x:v>0.025</x:v>
      </x:c>
      <x:c r="E36" s="302" t="n">
        <x:f>P35</x:f>
        <x:v>2019442.1722635836</x:v>
      </x:c>
      <x:c r="F36" s="302" t="n">
        <x:f>'Parámetros'!$B7*'Parámetros'!$B9/'Parámetros'!$B8</x:f>
        <x:v>2200000</x:v>
      </x:c>
      <x:c r="G36" s="302" t="n">
        <x:f>(1+'Parámetros'!$B10)^(B36-1)</x:f>
        <x:v>1.2801960869450182</x:v>
      </x:c>
      <x:c r="H36" s="302" t="n">
        <x:f>F36*D36*G36</x:f>
        <x:v>70410.784781976</x:v>
      </x:c>
      <x:c r="I36" s="302" t="n">
        <x:f>'Parámetros'!$B16*'Parámetros'!$B19+'Parámetros'!$B17*'Parámetros'!$B20+'Parámetros'!$B18*'Parámetros'!$B21</x:f>
        <x:v>0.035800000000000005</x:v>
      </x:c>
      <x:c r="J36" s="302" t="n">
        <x:f>E36*I36</x:f>
        <x:v>72296.0297670363</x:v>
      </x:c>
      <x:c r="K36" s="302" t="n">
        <x:f>E36*'Parámetros'!$B11</x:f>
        <x:v>3634.9959100744504</x:v>
      </x:c>
      <x:c r="L36" s="302" t="n">
        <x:f>AVERAGE(E32:E36)</x:f>
        <x:v>1806166.963860826</x:v>
      </x:c>
      <x:c r="M36" s="302" t="n">
        <x:f>'Parámetros'!$B15*MAX(0,Q35-R35)</x:f>
        <x:v>1164317.1655776335</x:v>
      </x:c>
      <x:c r="N36" s="302" t="n">
        <x:f>IF(B36&lt;='Parámetros'!$B12,0,'Parámetros'!$B13*L36)</x:f>
        <x:v>27092.50445791239</x:v>
      </x:c>
      <x:c r="O36" s="302" t="n">
        <x:f>MIN(N36,MAX(0,E36+J36-K36-M36))</x:f>
        <x:v>27092.50445791239</x:v>
      </x:c>
      <x:c r="P36" s="303" t="n">
        <x:f>MAX(0,E36+J36-K36)-O36+H36</x:f>
        <x:v>2131421.486444609</x:v>
      </x:c>
      <x:c r="Q36" s="302" t="n">
        <x:f>Q35+H36</x:f>
        <x:v>1586938.8998332887</x:v>
      </x:c>
      <x:c r="R36" s="302" t="n">
        <x:f>R35+O36</x:f>
        <x:v>249934.87997852112</x:v>
      </x:c>
      <x:c r="S36" s="127" t="b">
        <x:f>O36&lt;N36</x:f>
        <x:v>0</x:v>
      </x:c>
      <x:c r="T36" s="304" t="n">
        <x:f>W35</x:f>
        <x:v>871123.9453688314</x:v>
      </x:c>
      <x:c r="U36" s="304" t="n">
        <x:f>IF(T36&lt;=0,1,(MAX(0,E36+J36-K36)-O36)/T36)</x:f>
        <x:v>2.3659213050216485</x:v>
      </x:c>
      <x:c r="V36" s="304" t="n">
        <x:f>IF(U36&gt;0,H36/U36,0)</x:f>
        <x:v>29760.408612293948</x:v>
      </x:c>
      <x:c r="W36" s="304" t="n">
        <x:f>T36+V36</x:f>
        <x:v>900884.3539811254</x:v>
      </x:c>
      <x:c r="X36" s="304" t="n">
        <x:f>IF(W36&gt;0,P36/W36,1)</x:f>
        <x:v>2.365921305021648</x:v>
      </x:c>
    </x:row>
    <x:row r="37">
      <x:c r="A37" s="137" t="n">
        <x:f>A36+1</x:f>
        <x:v>2058</x:v>
      </x:c>
      <x:c r="B37" s="137" t="n">
        <x:f>A37-'Parámetros'!$B5+1</x:f>
        <x:v>33</x:v>
      </x:c>
      <x:c r="C37" s="137" t="str">
        <x:f>IF(B37&lt;='Parámetros'!$B12,"Acumulación","Maduración")</x:f>
        <x:v>Maduración</x:v>
      </x:c>
      <x:c r="D37" s="301" t="n">
        <x:f>IF(B37&lt;='Senda estatutaria'!$B$5,'Senda estatutaria'!$C$5,IF(B37&lt;='Senda estatutaria'!$B$6,'Senda estatutaria'!$C$6,IF(B37&lt;='Senda estatutaria'!$B$7,'Senda estatutaria'!$C$7,IF(B37&lt;='Senda estatutaria'!$B$8,'Senda estatutaria'!$C$8,IF(B37&lt;='Senda estatutaria'!$B$9,'Senda estatutaria'!$C$9,'Senda estatutaria'!$C$10)))))</x:f>
        <x:v>0.025</x:v>
      </x:c>
      <x:c r="E37" s="302" t="n">
        <x:f>P36</x:f>
        <x:v>2131421.486444609</x:v>
      </x:c>
      <x:c r="F37" s="302" t="n">
        <x:f>'Parámetros'!$B7*'Parámetros'!$B9/'Parámetros'!$B8</x:f>
        <x:v>2200000</x:v>
      </x:c>
      <x:c r="G37" s="302" t="n">
        <x:f>(1+'Parámetros'!$B10)^(B37-1)</x:f>
        <x:v>1.2904376556405783</x:v>
      </x:c>
      <x:c r="H37" s="302" t="n">
        <x:f>F37*D37*G37</x:f>
        <x:v>70974.07106023181</x:v>
      </x:c>
      <x:c r="I37" s="302" t="n">
        <x:f>'Parámetros'!$B16*'Parámetros'!$B19+'Parámetros'!$B17*'Parámetros'!$B20+'Parámetros'!$B18*'Parámetros'!$B21</x:f>
        <x:v>0.035800000000000005</x:v>
      </x:c>
      <x:c r="J37" s="302" t="n">
        <x:f>E37*I37</x:f>
        <x:v>76304.88921471701</x:v>
      </x:c>
      <x:c r="K37" s="302" t="n">
        <x:f>E37*'Parámetros'!$B11</x:f>
        <x:v>3836.558675600296</x:v>
      </x:c>
      <x:c r="L37" s="302" t="n">
        <x:f>AVERAGE(E33:E37)</x:f>
        <x:v>1912832.3907712966</x:v>
      </x:c>
      <x:c r="M37" s="302" t="n">
        <x:f>'Parámetros'!$B15*MAX(0,Q36-R36)</x:f>
        <x:v>1203303.617869291</x:v>
      </x:c>
      <x:c r="N37" s="302" t="n">
        <x:f>IF(B37&lt;='Parámetros'!$B12,0,'Parámetros'!$B13*L37)</x:f>
        <x:v>28692.485861569447</x:v>
      </x:c>
      <x:c r="O37" s="302" t="n">
        <x:f>MIN(N37,MAX(0,E37+J37-K37-M37))</x:f>
        <x:v>28692.485861569447</x:v>
      </x:c>
      <x:c r="P37" s="303" t="n">
        <x:f>MAX(0,E37+J37-K37)-O37+H37</x:f>
        <x:v>2246171.4021823877</x:v>
      </x:c>
      <x:c r="Q37" s="302" t="n">
        <x:f>Q36+H37</x:f>
        <x:v>1657912.9708935206</x:v>
      </x:c>
      <x:c r="R37" s="302" t="n">
        <x:f>R36+O37</x:f>
        <x:v>278627.36584009056</x:v>
      </x:c>
      <x:c r="S37" s="127" t="b">
        <x:f>O37&lt;N37</x:f>
        <x:v>0</x:v>
      </x:c>
      <x:c r="T37" s="304" t="n">
        <x:f>W36</x:f>
        <x:v>900884.3539811254</x:v>
      </x:c>
      <x:c r="U37" s="304" t="n">
        <x:f>IF(T37&lt;=0,1,(MAX(0,E37+J37-K37)-O37)/T37)</x:f>
        <x:v>2.414513385108394</x:v>
      </x:c>
      <x:c r="V37" s="304" t="n">
        <x:f>IF(U37&gt;0,H37/U37,0)</x:f>
        <x:v>29394.772254304815</x:v>
      </x:c>
      <x:c r="W37" s="304" t="n">
        <x:f>T37+V37</x:f>
        <x:v>930279.1262354302</x:v>
      </x:c>
      <x:c r="X37" s="304" t="n">
        <x:f>IF(W37&gt;0,P37/W37,1)</x:f>
        <x:v>2.414513385108394</x:v>
      </x:c>
    </x:row>
    <x:row r="38">
      <x:c r="A38" s="137" t="n">
        <x:f>A37+1</x:f>
        <x:v>2059</x:v>
      </x:c>
      <x:c r="B38" s="137" t="n">
        <x:f>A38-'Parámetros'!$B5+1</x:f>
        <x:v>34</x:v>
      </x:c>
      <x:c r="C38" s="137" t="str">
        <x:f>IF(B38&lt;='Parámetros'!$B12,"Acumulación","Maduración")</x:f>
        <x:v>Maduración</x:v>
      </x:c>
      <x:c r="D38" s="301" t="n">
        <x:f>IF(B38&lt;='Senda estatutaria'!$B$5,'Senda estatutaria'!$C$5,IF(B38&lt;='Senda estatutaria'!$B$6,'Senda estatutaria'!$C$6,IF(B38&lt;='Senda estatutaria'!$B$7,'Senda estatutaria'!$C$7,IF(B38&lt;='Senda estatutaria'!$B$8,'Senda estatutaria'!$C$8,IF(B38&lt;='Senda estatutaria'!$B$9,'Senda estatutaria'!$C$9,'Senda estatutaria'!$C$10)))))</x:f>
        <x:v>0.025</x:v>
      </x:c>
      <x:c r="E38" s="302" t="n">
        <x:f>P37</x:f>
        <x:v>2246171.4021823877</x:v>
      </x:c>
      <x:c r="F38" s="302" t="n">
        <x:f>'Parámetros'!$B7*'Parámetros'!$B9/'Parámetros'!$B8</x:f>
        <x:v>2200000</x:v>
      </x:c>
      <x:c r="G38" s="302" t="n">
        <x:f>(1+'Parámetros'!$B10)^(B38-1)</x:f>
        <x:v>1.3007611568857032</x:v>
      </x:c>
      <x:c r="H38" s="302" t="n">
        <x:f>F38*D38*G38</x:f>
        <x:v>71541.86362871368</x:v>
      </x:c>
      <x:c r="I38" s="302" t="n">
        <x:f>'Parámetros'!$B16*'Parámetros'!$B19+'Parámetros'!$B17*'Parámetros'!$B20+'Parámetros'!$B18*'Parámetros'!$B21</x:f>
        <x:v>0.035800000000000005</x:v>
      </x:c>
      <x:c r="J38" s="302" t="n">
        <x:f>E38*I38</x:f>
        <x:v>80412.9361981295</x:v>
      </x:c>
      <x:c r="K38" s="302" t="n">
        <x:f>E38*'Parámetros'!$B11</x:f>
        <x:v>4043.1085239282975</x:v>
      </x:c>
      <x:c r="L38" s="302" t="n">
        <x:f>AVERAGE(E34:E38)</x:f>
        <x:v>2022155.3233890322</x:v>
      </x:c>
      <x:c r="M38" s="302" t="n">
        <x:f>'Parámetros'!$B15*MAX(0,Q37-R37)</x:f>
        <x:v>1241357.044548087</x:v>
      </x:c>
      <x:c r="N38" s="302" t="n">
        <x:f>IF(B38&lt;='Parámetros'!$B12,0,'Parámetros'!$B13*L38)</x:f>
        <x:v>30332.329850835482</x:v>
      </x:c>
      <x:c r="O38" s="302" t="n">
        <x:f>MIN(N38,MAX(0,E38+J38-K38-M38))</x:f>
        <x:v>30332.329850835482</x:v>
      </x:c>
      <x:c r="P38" s="303" t="n">
        <x:f>MAX(0,E38+J38-K38)-O38+H38</x:f>
        <x:v>2363750.7636344675</x:v>
      </x:c>
      <x:c r="Q38" s="302" t="n">
        <x:f>Q37+H38</x:f>
        <x:v>1729454.8345222343</x:v>
      </x:c>
      <x:c r="R38" s="302" t="n">
        <x:f>R37+O38</x:f>
        <x:v>308959.69569092605</x:v>
      </x:c>
      <x:c r="S38" s="127" t="b">
        <x:f>O38&lt;N38</x:f>
        <x:v>0</x:v>
      </x:c>
      <x:c r="T38" s="304" t="n">
        <x:f>W37</x:f>
        <x:v>930279.1262354302</x:v>
      </x:c>
      <x:c r="U38" s="304" t="n">
        <x:f>IF(T38&lt;=0,1,(MAX(0,E38+J38-K38)-O38)/T38)</x:f>
        <x:v>2.46400121787281</x:v>
      </x:c>
      <x:c r="V38" s="304" t="n">
        <x:f>IF(U38&gt;0,H38/U38,0)</x:f>
        <x:v>29034.832900965965</x:v>
      </x:c>
      <x:c r="W38" s="304" t="n">
        <x:f>T38+V38</x:f>
        <x:v>959313.9591363962</x:v>
      </x:c>
      <x:c r="X38" s="304" t="n">
        <x:f>IF(W38&gt;0,P38/W38,1)</x:f>
        <x:v>2.46400121787281</x:v>
      </x:c>
    </x:row>
    <x:row r="39">
      <x:c r="A39" s="137" t="n">
        <x:f>A38+1</x:f>
        <x:v>2060</x:v>
      </x:c>
      <x:c r="B39" s="137" t="n">
        <x:f>A39-'Parámetros'!$B5+1</x:f>
        <x:v>35</x:v>
      </x:c>
      <x:c r="C39" s="137" t="str">
        <x:f>IF(B39&lt;='Parámetros'!$B12,"Acumulación","Maduración")</x:f>
        <x:v>Maduración</x:v>
      </x:c>
      <x:c r="D39" s="301" t="n">
        <x:f>IF(B39&lt;='Senda estatutaria'!$B$5,'Senda estatutaria'!$C$5,IF(B39&lt;='Senda estatutaria'!$B$6,'Senda estatutaria'!$C$6,IF(B39&lt;='Senda estatutaria'!$B$7,'Senda estatutaria'!$C$7,IF(B39&lt;='Senda estatutaria'!$B$8,'Senda estatutaria'!$C$8,IF(B39&lt;='Senda estatutaria'!$B$9,'Senda estatutaria'!$C$9,'Senda estatutaria'!$C$10)))))</x:f>
        <x:v>0.025</x:v>
      </x:c>
      <x:c r="E39" s="302" t="n">
        <x:f>P38</x:f>
        <x:v>2363750.7636344675</x:v>
      </x:c>
      <x:c r="F39" s="302" t="n">
        <x:f>'Parámetros'!$B7*'Parámetros'!$B9/'Parámetros'!$B8</x:f>
        <x:v>2200000</x:v>
      </x:c>
      <x:c r="G39" s="302" t="n">
        <x:f>(1+'Parámetros'!$B10)^(B39-1)</x:f>
        <x:v>1.3111672461407886</x:v>
      </x:c>
      <x:c r="H39" s="302" t="n">
        <x:f>F39*D39*G39</x:f>
        <x:v>72114.19853774337</x:v>
      </x:c>
      <x:c r="I39" s="302" t="n">
        <x:f>'Parámetros'!$B16*'Parámetros'!$B19+'Parámetros'!$B17*'Parámetros'!$B20+'Parámetros'!$B18*'Parámetros'!$B21</x:f>
        <x:v>0.035800000000000005</x:v>
      </x:c>
      <x:c r="J39" s="302" t="n">
        <x:f>E39*I39</x:f>
        <x:v>84622.27733811396</x:v>
      </x:c>
      <x:c r="K39" s="302" t="n">
        <x:f>E39*'Parámetros'!$B11</x:f>
        <x:v>4254.751374542041</x:v>
      </x:c>
      <x:c r="L39" s="302" t="n">
        <x:f>AVERAGE(E35:E39)</x:f>
        <x:v>2134192.3210515</x:v>
      </x:c>
      <x:c r="M39" s="302" t="n">
        <x:f>'Parámetros'!$B15*MAX(0,Q38-R38)</x:f>
        <x:v>1278445.6249481773</x:v>
      </x:c>
      <x:c r="N39" s="302" t="n">
        <x:f>IF(B39&lt;='Parámetros'!$B12,0,'Parámetros'!$B13*L39)</x:f>
        <x:v>32012.884815772497</x:v>
      </x:c>
      <x:c r="O39" s="302" t="n">
        <x:f>MIN(N39,MAX(0,E39+J39-K39-M39))</x:f>
        <x:v>32012.884815772497</x:v>
      </x:c>
      <x:c r="P39" s="303" t="n">
        <x:f>MAX(0,E39+J39-K39)-O39+H39</x:f>
        <x:v>2484219.60332001</x:v>
      </x:c>
      <x:c r="Q39" s="302" t="n">
        <x:f>Q38+H39</x:f>
        <x:v>1801569.0330599777</x:v>
      </x:c>
      <x:c r="R39" s="302" t="n">
        <x:f>R38+O39</x:f>
        <x:v>340972.5805066985</x:v>
      </x:c>
      <x:c r="S39" s="127" t="b">
        <x:f>O39&lt;N39</x:f>
        <x:v>0</x:v>
      </x:c>
      <x:c r="T39" s="304" t="n">
        <x:f>W38</x:f>
        <x:v>959313.9591363962</x:v>
      </x:c>
      <x:c r="U39" s="304" t="n">
        <x:f>IF(T39&lt;=0,1,(MAX(0,E39+J39-K39)-O39)/T39)</x:f>
        <x:v>2.5144066567672154</x:v>
      </x:c>
      <x:c r="V39" s="304" t="n">
        <x:f>IF(U39&gt;0,H39/U39,0)</x:f>
        <x:v>28680.40392100335</x:v>
      </x:c>
      <x:c r="W39" s="304" t="n">
        <x:f>T39+V39</x:f>
        <x:v>987994.3630573995</x:v>
      </x:c>
      <x:c r="X39" s="304" t="n">
        <x:f>IF(W39&gt;0,P39/W39,1)</x:f>
        <x:v>2.514406656767215</x:v>
      </x:c>
    </x:row>
    <x:row r="40">
      <x:c r="A40" s="137" t="n">
        <x:f>A39+1</x:f>
        <x:v>2061</x:v>
      </x:c>
      <x:c r="B40" s="137" t="n">
        <x:f>A40-'Parámetros'!$B5+1</x:f>
        <x:v>36</x:v>
      </x:c>
      <x:c r="C40" s="137" t="str">
        <x:f>IF(B40&lt;='Parámetros'!$B12,"Acumulación","Maduración")</x:f>
        <x:v>Maduración</x:v>
      </x:c>
      <x:c r="D40" s="301" t="n">
        <x:f>IF(B40&lt;='Senda estatutaria'!$B$5,'Senda estatutaria'!$C$5,IF(B40&lt;='Senda estatutaria'!$B$6,'Senda estatutaria'!$C$6,IF(B40&lt;='Senda estatutaria'!$B$7,'Senda estatutaria'!$C$7,IF(B40&lt;='Senda estatutaria'!$B$8,'Senda estatutaria'!$C$8,IF(B40&lt;='Senda estatutaria'!$B$9,'Senda estatutaria'!$C$9,'Senda estatutaria'!$C$10)))))</x:f>
        <x:v>0.025</x:v>
      </x:c>
      <x:c r="E40" s="302" t="n">
        <x:f>P39</x:f>
        <x:v>2484219.60332001</x:v>
      </x:c>
      <x:c r="F40" s="302" t="n">
        <x:f>'Parámetros'!$B7*'Parámetros'!$B9/'Parámetros'!$B8</x:f>
        <x:v>2200000</x:v>
      </x:c>
      <x:c r="G40" s="302" t="n">
        <x:f>(1+'Parámetros'!$B10)^(B40-1)</x:f>
        <x:v>1.321656584109915</x:v>
      </x:c>
      <x:c r="H40" s="302" t="n">
        <x:f>F40*D40*G40</x:f>
        <x:v>72691.11212604532</x:v>
      </x:c>
      <x:c r="I40" s="302" t="n">
        <x:f>'Parámetros'!$B16*'Parámetros'!$B19+'Parámetros'!$B17*'Parámetros'!$B20+'Parámetros'!$B18*'Parámetros'!$B21</x:f>
        <x:v>0.035800000000000005</x:v>
      </x:c>
      <x:c r="J40" s="302" t="n">
        <x:f>E40*I40</x:f>
        <x:v>88935.06179885638</x:v>
      </x:c>
      <x:c r="K40" s="302" t="n">
        <x:f>E40*'Parámetros'!$B11</x:f>
        <x:v>4471.595285976018</x:v>
      </x:c>
      <x:c r="L40" s="302" t="n">
        <x:f>AVERAGE(E36:E40)</x:f>
        <x:v>2249001.0855690115</x:v>
      </x:c>
      <x:c r="M40" s="302" t="n">
        <x:f>'Parámetros'!$B15*MAX(0,Q39-R39)</x:f>
        <x:v>1314536.8072979513</x:v>
      </x:c>
      <x:c r="N40" s="302" t="n">
        <x:f>IF(B40&lt;='Parámetros'!$B12,0,'Parámetros'!$B13*L40)</x:f>
        <x:v>33735.01628353517</x:v>
      </x:c>
      <x:c r="O40" s="302" t="n">
        <x:f>MIN(N40,MAX(0,E40+J40-K40-M40))</x:f>
        <x:v>33735.01628353517</x:v>
      </x:c>
      <x:c r="P40" s="303" t="n">
        <x:f>MAX(0,E40+J40-K40)-O40+H40</x:f>
        <x:v>2607639.1656754008</x:v>
      </x:c>
      <x:c r="Q40" s="302" t="n">
        <x:f>Q39+H40</x:f>
        <x:v>1874260.145186023</x:v>
      </x:c>
      <x:c r="R40" s="302" t="n">
        <x:f>R39+O40</x:f>
        <x:v>374707.5967902337</x:v>
      </x:c>
      <x:c r="S40" s="127" t="b">
        <x:f>O40&lt;N40</x:f>
        <x:v>0</x:v>
      </x:c>
      <x:c r="T40" s="304" t="n">
        <x:f>W39</x:f>
        <x:v>987994.3630573995</x:v>
      </x:c>
      <x:c r="U40" s="304" t="n">
        <x:f>IF(T40&lt;=0,1,(MAX(0,E40+J40-K40)-O40)/T40)</x:f>
        <x:v>2.5657515349630415</x:v>
      </x:c>
      <x:c r="V40" s="304" t="n">
        <x:f>IF(U40&gt;0,H40/U40,0)</x:f>
        <x:v>28331.31389984432</x:v>
      </x:c>
      <x:c r="W40" s="304" t="n">
        <x:f>T40+V40</x:f>
        <x:v>1016325.6769572438</x:v>
      </x:c>
      <x:c r="X40" s="304" t="n">
        <x:f>IF(W40&gt;0,P40/W40,1)</x:f>
        <x:v>2.5657515349630415</x:v>
      </x:c>
    </x:row>
    <x:row r="41">
      <x:c r="A41" s="137" t="n">
        <x:f>A40+1</x:f>
        <x:v>2062</x:v>
      </x:c>
      <x:c r="B41" s="137" t="n">
        <x:f>A41-'Parámetros'!$B5+1</x:f>
        <x:v>37</x:v>
      </x:c>
      <x:c r="C41" s="137" t="str">
        <x:f>IF(B41&lt;='Parámetros'!$B12,"Acumulación","Maduración")</x:f>
        <x:v>Maduración</x:v>
      </x:c>
      <x:c r="D41" s="301" t="n">
        <x:f>IF(B41&lt;='Senda estatutaria'!$B$5,'Senda estatutaria'!$C$5,IF(B41&lt;='Senda estatutaria'!$B$6,'Senda estatutaria'!$C$6,IF(B41&lt;='Senda estatutaria'!$B$7,'Senda estatutaria'!$C$7,IF(B41&lt;='Senda estatutaria'!$B$8,'Senda estatutaria'!$C$8,IF(B41&lt;='Senda estatutaria'!$B$9,'Senda estatutaria'!$C$9,'Senda estatutaria'!$C$10)))))</x:f>
        <x:v>0.025</x:v>
      </x:c>
      <x:c r="E41" s="302" t="n">
        <x:f>P40</x:f>
        <x:v>2607639.1656754008</x:v>
      </x:c>
      <x:c r="F41" s="302" t="n">
        <x:f>'Parámetros'!$B7*'Parámetros'!$B9/'Parámetros'!$B8</x:f>
        <x:v>2200000</x:v>
      </x:c>
      <x:c r="G41" s="302" t="n">
        <x:f>(1+'Parámetros'!$B10)^(B41-1)</x:f>
        <x:v>1.3322298367827943</x:v>
      </x:c>
      <x:c r="H41" s="302" t="n">
        <x:f>F41*D41*G41</x:f>
        <x:v>73272.64102305369</x:v>
      </x:c>
      <x:c r="I41" s="302" t="n">
        <x:f>'Parámetros'!$B16*'Parámetros'!$B19+'Parámetros'!$B17*'Parámetros'!$B20+'Parámetros'!$B18*'Parámetros'!$B21</x:f>
        <x:v>0.035800000000000005</x:v>
      </x:c>
      <x:c r="J41" s="302" t="n">
        <x:f>E41*I41</x:f>
        <x:v>93353.48213117936</x:v>
      </x:c>
      <x:c r="K41" s="302" t="n">
        <x:f>E41*'Parámetros'!$B11</x:f>
        <x:v>4693.750498215722</x:v>
      </x:c>
      <x:c r="L41" s="302" t="n">
        <x:f>AVERAGE(E37:E41)</x:f>
        <x:v>2366640.484251375</x:v>
      </x:c>
      <x:c r="M41" s="302" t="n">
        <x:f>'Parámetros'!$B15*MAX(0,Q40-R40)</x:f>
        <x:v>1349597.2935562106</x:v>
      </x:c>
      <x:c r="N41" s="302" t="n">
        <x:f>IF(B41&lt;='Parámetros'!$B12,0,'Parámetros'!$B13*L41)</x:f>
        <x:v>35499.607263770624</x:v>
      </x:c>
      <x:c r="O41" s="302" t="n">
        <x:f>MIN(N41,MAX(0,E41+J41-K41-M41))</x:f>
        <x:v>35499.607263770624</x:v>
      </x:c>
      <x:c r="P41" s="303" t="n">
        <x:f>MAX(0,E41+J41-K41)-O41+H41</x:f>
        <x:v>2734071.931067648</x:v>
      </x:c>
      <x:c r="Q41" s="302" t="n">
        <x:f>Q40+H41</x:f>
        <x:v>1947532.7862090769</x:v>
      </x:c>
      <x:c r="R41" s="302" t="n">
        <x:f>R40+O41</x:f>
        <x:v>410207.2040540043</x:v>
      </x:c>
      <x:c r="S41" s="127" t="b">
        <x:f>O41&lt;N41</x:f>
        <x:v>0</x:v>
      </x:c>
      <x:c r="T41" s="304" t="n">
        <x:f>W40</x:f>
        <x:v>1016325.6769572438</x:v>
      </x:c>
      <x:c r="U41" s="304" t="n">
        <x:f>IF(T41&lt;=0,1,(MAX(0,E41+J41-K41)-O41)/T41)</x:f>
        <x:v>2.6180577253648707</x:v>
      </x:c>
      <x:c r="V41" s="304" t="n">
        <x:f>IF(U41&gt;0,H41/U41,0)</x:f>
        <x:v>27987.40467528916</x:v>
      </x:c>
      <x:c r="W41" s="304" t="n">
        <x:f>T41+V41</x:f>
        <x:v>1044313.081632533</x:v>
      </x:c>
      <x:c r="X41" s="304" t="n">
        <x:f>IF(W41&gt;0,P41/W41,1)</x:f>
        <x:v>2.6180577253648707</x:v>
      </x:c>
    </x:row>
    <x:row r="42">
      <x:c r="A42" s="137" t="n">
        <x:f>A41+1</x:f>
        <x:v>2063</x:v>
      </x:c>
      <x:c r="B42" s="137" t="n">
        <x:f>A42-'Parámetros'!$B5+1</x:f>
        <x:v>38</x:v>
      </x:c>
      <x:c r="C42" s="137" t="str">
        <x:f>IF(B42&lt;='Parámetros'!$B12,"Acumulación","Maduración")</x:f>
        <x:v>Maduración</x:v>
      </x:c>
      <x:c r="D42" s="301" t="n">
        <x:f>IF(B42&lt;='Senda estatutaria'!$B$5,'Senda estatutaria'!$C$5,IF(B42&lt;='Senda estatutaria'!$B$6,'Senda estatutaria'!$C$6,IF(B42&lt;='Senda estatutaria'!$B$7,'Senda estatutaria'!$C$7,IF(B42&lt;='Senda estatutaria'!$B$8,'Senda estatutaria'!$C$8,IF(B42&lt;='Senda estatutaria'!$B$9,'Senda estatutaria'!$C$9,'Senda estatutaria'!$C$10)))))</x:f>
        <x:v>0.025</x:v>
      </x:c>
      <x:c r="E42" s="302" t="n">
        <x:f>P41</x:f>
        <x:v>2734071.931067648</x:v>
      </x:c>
      <x:c r="F42" s="302" t="n">
        <x:f>'Parámetros'!$B7*'Parámetros'!$B9/'Parámetros'!$B8</x:f>
        <x:v>2200000</x:v>
      </x:c>
      <x:c r="G42" s="302" t="n">
        <x:f>(1+'Parámetros'!$B10)^(B42-1)</x:f>
        <x:v>1.3428876754770567</x:v>
      </x:c>
      <x:c r="H42" s="302" t="n">
        <x:f>F42*D42*G42</x:f>
        <x:v>73858.82215123811</x:v>
      </x:c>
      <x:c r="I42" s="302" t="n">
        <x:f>'Parámetros'!$B16*'Parámetros'!$B19+'Parámetros'!$B17*'Parámetros'!$B20+'Parámetros'!$B18*'Parámetros'!$B21</x:f>
        <x:v>0.035800000000000005</x:v>
      </x:c>
      <x:c r="J42" s="302" t="n">
        <x:f>E42*I42</x:f>
        <x:v>97879.77513222181</x:v>
      </x:c>
      <x:c r="K42" s="302" t="n">
        <x:f>E42*'Parámetros'!$B11</x:f>
        <x:v>4921.329475921766</x:v>
      </x:c>
      <x:c r="L42" s="302" t="n">
        <x:f>AVERAGE(E38:E42)</x:f>
        <x:v>2487170.5731759826</x:v>
      </x:c>
      <x:c r="M42" s="302" t="n">
        <x:f>'Parámetros'!$B15*MAX(0,Q41-R41)</x:f>
        <x:v>1383593.0239395653</x:v>
      </x:c>
      <x:c r="N42" s="302" t="n">
        <x:f>IF(B42&lt;='Parámetros'!$B12,0,'Parámetros'!$B13*L42)</x:f>
        <x:v>37307.558597639734</x:v>
      </x:c>
      <x:c r="O42" s="302" t="n">
        <x:f>MIN(N42,MAX(0,E42+J42-K42-M42))</x:f>
        <x:v>37307.558597639734</x:v>
      </x:c>
      <x:c r="P42" s="303" t="n">
        <x:f>MAX(0,E42+J42-K42)-O42+H42</x:f>
        <x:v>2863581.6402775464</x:v>
      </x:c>
      <x:c r="Q42" s="302" t="n">
        <x:f>Q41+H42</x:f>
        <x:v>2021391.608360315</x:v>
      </x:c>
      <x:c r="R42" s="302" t="n">
        <x:f>R41+O42</x:f>
        <x:v>447514.762651644</x:v>
      </x:c>
      <x:c r="S42" s="127" t="b">
        <x:f>O42&lt;N42</x:f>
        <x:v>0</x:v>
      </x:c>
      <x:c r="T42" s="304" t="n">
        <x:f>W41</x:f>
        <x:v>1044313.081632533</x:v>
      </x:c>
      <x:c r="U42" s="304" t="n">
        <x:f>IF(T42&lt;=0,1,(MAX(0,E42+J42-K42)-O42)/T42)</x:f>
        <x:v>2.6713471919409892</x:v>
      </x:c>
      <x:c r="V42" s="304" t="n">
        <x:f>IF(U42&gt;0,H42/U42,0)</x:f>
        <x:v>27648.52969095815</x:v>
      </x:c>
      <x:c r="W42" s="304" t="n">
        <x:f>T42+V42</x:f>
        <x:v>1071961.6113234912</x:v>
      </x:c>
      <x:c r="X42" s="304" t="n">
        <x:f>IF(W42&gt;0,P42/W42,1)</x:f>
        <x:v>2.6713471919409892</x:v>
      </x:c>
    </x:row>
    <x:row r="43">
      <x:c r="A43" s="137" t="n">
        <x:f>A42+1</x:f>
        <x:v>2064</x:v>
      </x:c>
      <x:c r="B43" s="137" t="n">
        <x:f>A43-'Parámetros'!$B5+1</x:f>
        <x:v>39</x:v>
      </x:c>
      <x:c r="C43" s="137" t="str">
        <x:f>IF(B43&lt;='Parámetros'!$B12,"Acumulación","Maduración")</x:f>
        <x:v>Maduración</x:v>
      </x:c>
      <x:c r="D43" s="301" t="n">
        <x:f>IF(B43&lt;='Senda estatutaria'!$B$5,'Senda estatutaria'!$C$5,IF(B43&lt;='Senda estatutaria'!$B$6,'Senda estatutaria'!$C$6,IF(B43&lt;='Senda estatutaria'!$B$7,'Senda estatutaria'!$C$7,IF(B43&lt;='Senda estatutaria'!$B$8,'Senda estatutaria'!$C$8,IF(B43&lt;='Senda estatutaria'!$B$9,'Senda estatutaria'!$C$9,'Senda estatutaria'!$C$10)))))</x:f>
        <x:v>0.025</x:v>
      </x:c>
      <x:c r="E43" s="302" t="n">
        <x:f>P42</x:f>
        <x:v>2863581.6402775464</x:v>
      </x:c>
      <x:c r="F43" s="302" t="n">
        <x:f>'Parámetros'!$B7*'Parámetros'!$B9/'Parámetros'!$B8</x:f>
        <x:v>2200000</x:v>
      </x:c>
      <x:c r="G43" s="302" t="n">
        <x:f>(1+'Parámetros'!$B10)^(B43-1)</x:f>
        <x:v>1.353630776880873</x:v>
      </x:c>
      <x:c r="H43" s="302" t="n">
        <x:f>F43*D43*G43</x:f>
        <x:v>74449.69272844802</x:v>
      </x:c>
      <x:c r="I43" s="302" t="n">
        <x:f>'Parámetros'!$B16*'Parámetros'!$B19+'Parámetros'!$B17*'Parámetros'!$B20+'Parámetros'!$B18*'Parámetros'!$B21</x:f>
        <x:v>0.035800000000000005</x:v>
      </x:c>
      <x:c r="J43" s="302" t="n">
        <x:f>E43*I43</x:f>
        <x:v>102516.22272193618</x:v>
      </x:c>
      <x:c r="K43" s="302" t="n">
        <x:f>E43*'Parámetros'!$B11</x:f>
        <x:v>5154.446952499583</x:v>
      </x:c>
      <x:c r="L43" s="302" t="n">
        <x:f>AVERAGE(E39:E43)</x:f>
        <x:v>2610652.6207950143</x:v>
      </x:c>
      <x:c r="M43" s="302" t="n">
        <x:f>'Parámetros'!$B15*MAX(0,Q42-R42)</x:f>
        <x:v>1416489.161137804</x:v>
      </x:c>
      <x:c r="N43" s="302" t="n">
        <x:f>IF(B43&lt;='Parámetros'!$B12,0,'Parámetros'!$B13*L43)</x:f>
        <x:v>39159.78931192521</x:v>
      </x:c>
      <x:c r="O43" s="302" t="n">
        <x:f>MIN(N43,MAX(0,E43+J43-K43-M43))</x:f>
        <x:v>39159.78931192521</x:v>
      </x:c>
      <x:c r="P43" s="303" t="n">
        <x:f>MAX(0,E43+J43-K43)-O43+H43</x:f>
        <x:v>2996233.319463506</x:v>
      </x:c>
      <x:c r="Q43" s="302" t="n">
        <x:f>Q42+H43</x:f>
        <x:v>2095841.301088763</x:v>
      </x:c>
      <x:c r="R43" s="302" t="n">
        <x:f>R42+O43</x:f>
        <x:v>486674.55196356925</x:v>
      </x:c>
      <x:c r="S43" s="127" t="b">
        <x:f>O43&lt;N43</x:f>
        <x:v>0</x:v>
      </x:c>
      <x:c r="T43" s="304" t="n">
        <x:f>W42</x:f>
        <x:v>1071961.6113234912</x:v>
      </x:c>
      <x:c r="U43" s="304" t="n">
        <x:f>IF(T43&lt;=0,1,(MAX(0,E43+J43-K43)-O43)/T43)</x:f>
        <x:v>2.725642034072185</x:v>
      </x:c>
      <x:c r="V43" s="304" t="n">
        <x:f>IF(U43&gt;0,H43/U43,0)</x:f>
        <x:v>27314.55260734224</x:v>
      </x:c>
      <x:c r="W43" s="304" t="n">
        <x:f>T43+V43</x:f>
        <x:v>1099276.1639308333</x:v>
      </x:c>
      <x:c r="X43" s="304" t="n">
        <x:f>IF(W43&gt;0,P43/W43,1)</x:f>
        <x:v>2.7256420340721856</x:v>
      </x:c>
    </x:row>
    <x:row r="44">
      <x:c r="A44" s="139" t="n">
        <x:f>A43+1</x:f>
        <x:v>2065</x:v>
      </x:c>
      <x:c r="B44" s="139" t="n">
        <x:f>A44-'Parámetros'!$B5+1</x:f>
        <x:v>40</x:v>
      </x:c>
      <x:c r="C44" s="139" t="str">
        <x:f>IF(B44&lt;='Parámetros'!$B12,"Acumulación","Maduración")</x:f>
        <x:v>Maduración</x:v>
      </x:c>
      <x:c r="D44" s="305" t="n">
        <x:f>IF(B44&lt;='Senda estatutaria'!$B$5,'Senda estatutaria'!$C$5,IF(B44&lt;='Senda estatutaria'!$B$6,'Senda estatutaria'!$C$6,IF(B44&lt;='Senda estatutaria'!$B$7,'Senda estatutaria'!$C$7,IF(B44&lt;='Senda estatutaria'!$B$8,'Senda estatutaria'!$C$8,IF(B44&lt;='Senda estatutaria'!$B$9,'Senda estatutaria'!$C$9,'Senda estatutaria'!$C$10)))))</x:f>
        <x:v>0.025</x:v>
      </x:c>
      <x:c r="E44" s="306" t="n">
        <x:f>P43</x:f>
        <x:v>2996233.319463506</x:v>
      </x:c>
      <x:c r="F44" s="306" t="n">
        <x:f>'Parámetros'!$B7*'Parámetros'!$B9/'Parámetros'!$B8</x:f>
        <x:v>2200000</x:v>
      </x:c>
      <x:c r="G44" s="306" t="n">
        <x:f>(1+'Parámetros'!$B10)^(B44-1)</x:f>
        <x:v>1.3644598230959202</x:v>
      </x:c>
      <x:c r="H44" s="306" t="n">
        <x:f>F44*D44*G44</x:f>
        <x:v>75045.29027027561</x:v>
      </x:c>
      <x:c r="I44" s="306" t="n">
        <x:f>'Parámetros'!$B16*'Parámetros'!$B19+'Parámetros'!$B17*'Parámetros'!$B20+'Parámetros'!$B18*'Parámetros'!$B21</x:f>
        <x:v>0.035800000000000005</x:v>
      </x:c>
      <x:c r="J44" s="306" t="n">
        <x:f>E44*I44</x:f>
        <x:v>107265.15283679352</x:v>
      </x:c>
      <x:c r="K44" s="306" t="n">
        <x:f>E44*'Parámetros'!$B11</x:f>
        <x:v>5393.219975034311</x:v>
      </x:c>
      <x:c r="L44" s="306" t="n">
        <x:f>AVERAGE(E40:E44)</x:f>
        <x:v>2737149.1319608223</x:v>
      </x:c>
      <x:c r="M44" s="306" t="n">
        <x:f>'Parámetros'!$B15*MAX(0,Q43-R43)</x:f>
        <x:v>1448250.0742126745</x:v>
      </x:c>
      <x:c r="N44" s="306" t="n">
        <x:f>IF(B44&lt;='Parámetros'!$B12,0,'Parámetros'!$B13*L44)</x:f>
        <x:v>41057.23697941233</x:v>
      </x:c>
      <x:c r="O44" s="306" t="n">
        <x:f>MIN(N44,MAX(0,E44+J44-K44-M44))</x:f>
        <x:v>41057.23697941233</x:v>
      </x:c>
      <x:c r="P44" s="307" t="n">
        <x:f>MAX(0,E44+J44-K44)-O44+H44</x:f>
        <x:v>3132093.3056161283</x:v>
      </x:c>
      <x:c r="Q44" s="306" t="n">
        <x:f>Q43+H44</x:f>
        <x:v>2170886.5913590384</x:v>
      </x:c>
      <x:c r="R44" s="306" t="n">
        <x:f>R43+O44</x:f>
        <x:v>527731.7889429816</x:v>
      </x:c>
      <x:c r="S44" s="131" t="b">
        <x:f>O44&lt;N44</x:f>
        <x:v>0</x:v>
      </x:c>
      <x:c r="T44" s="308" t="n">
        <x:f>W43</x:f>
        <x:v>1099276.1639308333</x:v>
      </x:c>
      <x:c r="U44" s="308" t="n">
        <x:f>IF(T44&lt;=0,1,(MAX(0,E44+J44-K44)-O44)/T44)</x:f>
        <x:v>2.7809645252511843</x:v>
      </x:c>
      <x:c r="V44" s="308" t="n">
        <x:f>IF(U44&gt;0,H44/U44,0)</x:f>
        <x:v>26985.346123211446</x:v>
      </x:c>
      <x:c r="W44" s="308" t="n">
        <x:f>T44+V44</x:f>
        <x:v>1126261.510054045</x:v>
      </x:c>
      <x:c r="X44" s="308" t="n">
        <x:f>IF(W44&gt;0,P44/W44,1)</x:f>
        <x:v>2.780964525251184</x:v>
      </x:c>
    </x:row>
  </x:sheetData>
  <x:mergeCells>
    <x:mergeCell ref="A2:H2"/>
    <x:mergeCell ref="A1:H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6" customWidth="1"/>
    <x:col min="2" max="2" width="28" customWidth="1"/>
    <x:col min="3" max="3" width="28" customWidth="1"/>
    <x:col min="4" max="4" width="38" customWidth="1"/>
  </x:cols>
  <x:sheetData>
    <x:row r="1" ht="34" customHeight="1">
      <x:c r="A1" s="52" t="inlineStr">
        <x:is>
          <x:t xml:space="preserve">UCA ordinarias: posiciones registrales</x:t>
        </x:is>
      </x:c>
    </x:row>
    <x:row r="2" ht="30" customHeight="1">
      <x:c r="A2" s="55" t="inlineStr">
        <x:is>
          <x:t xml:space="preserve">La UCA individualiza una posición sin dividir jurídicamente la cartera; su resultado depende del NAV y de las distribuciones efectivas.</x:t>
        </x:is>
      </x:c>
    </x:row>
    <x:row r="3"/>
    <x:row r="4">
      <x:c r="A4" s="64" t="inlineStr">
        <x:is>
          <x:t xml:space="preserve">Cohorte</x:t>
        </x:is>
      </x:c>
      <x:c r="B4" s="65" t="inlineStr">
        <x:is>
          <x:t xml:space="preserve">Prob. recursos &lt; aportaciones</x:t>
        </x:is>
      </x:c>
      <x:c r="C4" s="65" t="inlineStr">
        <x:is>
          <x:t xml:space="preserve">Mediana recursos/aportaciones</x:t>
        </x:is>
      </x:c>
      <x:c r="D4" s="66" t="inlineStr">
        <x:is>
          <x:t xml:space="preserve">Lectura</x:t>
        </x:is>
      </x:c>
    </x:row>
    <x:row r="5">
      <x:c r="A5" s="67" t="n">
        <x:v>2026</x:v>
      </x:c>
      <x:c r="B5" s="309" t="n">
        <x:v>0.08387</x:v>
      </x:c>
      <x:c r="C5" s="310" t="n">
        <x:v>1.65936943833983</x:v>
      </x:c>
      <x:c r="D5" s="67" t="inlineStr">
        <x:is>
          <x:t xml:space="preserve">40 aportaciones unitarias</x:t>
        </x:is>
      </x:c>
    </x:row>
    <x:row r="6">
      <x:c r="A6" s="68" t="n">
        <x:v>2036</x:v>
      </x:c>
      <x:c r="B6" s="311" t="n">
        <x:v>0.11622</x:v>
      </x:c>
      <x:c r="C6" s="312" t="n">
        <x:v>1.446213604507811</x:v>
      </x:c>
      <x:c r="D6" s="68" t="inlineStr">
        <x:is>
          <x:t xml:space="preserve">30 aportaciones unitarias</x:t>
        </x:is>
      </x:c>
    </x:row>
    <x:row r="7">
      <x:c r="A7" s="69" t="n">
        <x:v>2046</x:v>
      </x:c>
      <x:c r="B7" s="313" t="n">
        <x:v>0.16598</x:v>
      </x:c>
      <x:c r="C7" s="314" t="n">
        <x:v>1.275287355575889</x:v>
      </x:c>
      <x:c r="D7" s="69" t="inlineStr">
        <x:is>
          <x:t xml:space="preserve">20 aportaciones unitarias</x:t>
        </x:is>
      </x:c>
    </x:row>
    <x:row r="8"/>
    <x:row r="9"/>
    <x:row r="10">
      <x:c r="A10" s="76" t="inlineStr">
        <x:is>
          <x:t xml:space="preserve">Identidad formal</x:t>
        </x:is>
      </x:c>
      <x:c r="B10" s="77" t="n"/>
      <x:c r="C10" s="77" t="n"/>
      <x:c r="D10" s="78" t="n"/>
    </x:row>
    <x:row r="11">
      <x:c r="A11" s="152" t="inlineStr">
        <x:is>
          <x:t xml:space="preserve">Recursos de una cohorte = UCA acumuladas × NAV terminal + distribuciones acumuladas. La probabilidad de quedar por debajo de las aportaciones no equivale a la probabilidad de que el patrimonio agregado sea inferior a las aportaciones.</x:t>
        </x:is>
      </x:c>
    </x:row>
    <x:row r="12"/>
    <x:row r="13"/>
    <x:row r="14"/>
    <x:row r="15"/>
    <x:row r="16">
      <x:c r="A16" s="284" t="inlineStr">
        <x:is>
          <x:t xml:space="preserve">Resultados de 100.000 trayectorias con semilla 2026. Cada cohorte aporta una unidad real por ejercicio desde su entrada. No incluye heterogeneidad salarial, tributaria, vital ni territorial.</x:t>
        </x:is>
      </x:c>
      <x:c r="B16" s="69" t="n"/>
      <x:c r="C16" s="69" t="n"/>
      <x:c r="D16" s="285" t="n"/>
    </x:row>
    <x:row r="17">
      <x:c r="A17" s="286" t="n"/>
      <x:c r="D17" s="287" t="n"/>
    </x:row>
    <x:row r="18">
      <x:c r="A18" s="288" t="n"/>
      <x:c r="B18" s="67" t="n"/>
      <x:c r="C18" s="67" t="n"/>
      <x:c r="D18" s="289" t="n"/>
    </x:row>
  </x:sheetData>
  <x:mergeCells>
    <x:mergeCell ref="A2:H2"/>
    <x:mergeCell ref="A16:D18"/>
    <x:mergeCell ref="A11:D13"/>
    <x:mergeCell ref="A1:H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0" customWidth="1"/>
    <x:col min="2" max="2" width="16" customWidth="1"/>
    <x:col min="3" max="3" width="16" customWidth="1"/>
    <x:col min="4" max="4" width="16" customWidth="1"/>
    <x:col min="5" max="5" width="22" customWidth="1"/>
    <x:col min="6" max="6" width="18" customWidth="1"/>
    <x:col min="7" max="7" width="18" customWidth="1"/>
    <x:col min="8" max="8" width="16" customWidth="1"/>
    <x:col min="9" max="9" width="24" customWidth="1"/>
    <x:col min="10" max="10" width="40" customWidth="1"/>
  </x:cols>
  <x:sheetData>
    <x:row r="1" ht="34" customHeight="1">
      <x:c r="A1" s="52" t="inlineStr">
        <x:is>
          <x:t xml:space="preserve">UCA-I: reserva institucional contingente</x:t>
        </x:is>
      </x:c>
    </x:row>
    <x:row r="2" ht="30" customHeight="1">
      <x:c r="A2" s="55" t="inlineStr">
        <x:is>
          <x:t xml:space="preserve">Formalización económica de derechos vinculados al resultado; no prueba su legitimidad normativa.</x:t>
        </x:is>
      </x:c>
    </x:row>
    <x:row r="3"/>
    <x:row r="4">
      <x:c r="A4" s="64" t="inlineStr">
        <x:is>
          <x:t xml:space="preserve">Variable</x:t>
        </x:is>
      </x:c>
      <x:c r="B4" s="65" t="inlineStr">
        <x:is>
          <x:t xml:space="preserve">Valor</x:t>
        </x:is>
      </x:c>
      <x:c r="C4" s="65" t="inlineStr">
        <x:is>
          <x:t xml:space="preserve">Definición</x:t>
        </x:is>
      </x:c>
      <x:c r="D4" s="66" t="inlineStr">
        <x:is>
          <x:t xml:space="preserve">Condición</x:t>
        </x:is>
      </x:c>
    </x:row>
    <x:row r="5">
      <x:c r="A5" s="73" t="inlineStr">
        <x:is>
          <x:t xml:space="preserve">A_ref</x:t>
        </x:is>
      </x:c>
      <x:c r="B5" s="315" t="n">
        <x:f>'Modelo central'!P22</x:f>
        <x:v>790658.7321857116</x:v>
      </x:c>
      <x:c r="C5" s="73" t="inlineStr">
        <x:is>
          <x:t xml:space="preserve">Patrimonio de referencia al cierre de la fase de acumulación (2043)</x:t>
        </x:is>
      </x:c>
      <x:c r="D5" s="73" t="inlineStr">
        <x:is>
          <x:t xml:space="preserve">Fórmula</x:t>
        </x:is>
      </x:c>
    </x:row>
    <x:row r="6">
      <x:c r="A6" s="74" t="inlineStr">
        <x:is>
          <x:t xml:space="preserve">ρ</x:t>
        </x:is>
      </x:c>
      <x:c r="B6" s="316" t="n">
        <x:f>'Trazabilidad parámetros'!B30</x:f>
        <x:v>0.01</x:v>
      </x:c>
      <x:c r="C6" s="74" t="inlineStr">
        <x:is>
          <x:t xml:space="preserve">Reserva máxima para UCA-I</x:t>
        </x:is>
      </x:c>
      <x:c r="D6" s="74" t="inlineStr">
        <x:is>
          <x:t xml:space="preserve">Límite estatutario</x:t>
        </x:is>
      </x:c>
    </x:row>
    <x:row r="7">
      <x:c r="A7" s="74" t="inlineStr">
        <x:is>
          <x:t xml:space="preserve">ρA_ref</x:t>
        </x:is>
      </x:c>
      <x:c r="B7" s="317" t="n">
        <x:f>B5*B6</x:f>
        <x:v>7906.587321857116</x:v>
      </x:c>
      <x:c r="C7" s="74" t="inlineStr">
        <x:is>
          <x:t xml:space="preserve">Cupo máximo; el ejemplo usa q=1 y muestra una asignación ilustrativa a cupo completo, no una validación del límite</x:t>
        </x:is>
      </x:c>
      <x:c r="D7" s="74" t="inlineStr">
        <x:is>
          <x:t xml:space="preserve">Fórmula</x:t>
        </x:is>
      </x:c>
    </x:row>
    <x:row r="8">
      <x:c r="A8" s="74" t="inlineStr">
        <x:is>
          <x:t xml:space="preserve">0,99A_ref</x:t>
        </x:is>
      </x:c>
      <x:c r="B8" s="317" t="n">
        <x:f>B5-B7</x:f>
        <x:v>782752.1448638545</x:v>
      </x:c>
      <x:c r="C8" s="74" t="inlineStr">
        <x:is>
          <x:t xml:space="preserve">Patrimonio mínimo no reservado</x:t>
        </x:is>
      </x:c>
      <x:c r="D8" s="74" t="inlineStr">
        <x:is>
          <x:t xml:space="preserve">Fórmula</x:t>
        </x:is>
      </x:c>
    </x:row>
    <x:row r="9">
      <x:c r="A9" s="74" t="inlineStr">
        <x:is>
          <x:t xml:space="preserve">S</x:t>
        </x:is>
      </x:c>
      <x:c r="B9" s="318" t="n">
        <x:v>0</x:v>
      </x:c>
      <x:c r="C9" s="74" t="inlineStr">
        <x:is>
          <x:t xml:space="preserve">Estado de realización</x:t>
        </x:is>
      </x:c>
      <x:c r="D9" s="74" t="inlineStr">
        <x:is>
          <x:t xml:space="preserve">0 = no alcanzado; 1 = alcanzado</x:t>
        </x:is>
      </x:c>
    </x:row>
    <x:row r="10">
      <x:c r="A10" s="74" t="inlineStr">
        <x:is>
          <x:t xml:space="preserve">α</x:t>
        </x:is>
      </x:c>
      <x:c r="B10" s="319" t="n">
        <x:v>0.4</x:v>
      </x:c>
      <x:c r="C10" s="74" t="inlineStr">
        <x:is>
          <x:t xml:space="preserve">Peso de aportación científica</x:t>
        </x:is>
      </x:c>
      <x:c r="D10" s="74" t="inlineStr">
        <x:is>
          <x:t xml:space="preserve">Hipótesis sujeta a estimación</x:t>
        </x:is>
      </x:c>
    </x:row>
    <x:row r="11">
      <x:c r="A11" s="74" t="inlineStr">
        <x:is>
          <x:t xml:space="preserve">β</x:t>
        </x:is>
      </x:c>
      <x:c r="B11" s="319" t="n">
        <x:v>0.35</x:v>
      </x:c>
      <x:c r="C11" s="74" t="inlineStr">
        <x:is>
          <x:t xml:space="preserve">Peso de capacidad regulatoria</x:t>
        </x:is>
      </x:c>
      <x:c r="D11" s="74" t="inlineStr">
        <x:is>
          <x:t xml:space="preserve">Hipótesis sujeta a estimación</x:t>
        </x:is>
      </x:c>
    </x:row>
    <x:row r="12">
      <x:c r="A12" s="75" t="inlineStr">
        <x:is>
          <x:t xml:space="preserve">γ</x:t>
        </x:is>
      </x:c>
      <x:c r="B12" s="320" t="n">
        <x:v>0.25</x:v>
      </x:c>
      <x:c r="C12" s="75" t="inlineStr">
        <x:is>
          <x:t xml:space="preserve">Peso de cooperación cívica</x:t>
        </x:is>
      </x:c>
      <x:c r="D12" s="75" t="inlineStr">
        <x:is>
          <x:t xml:space="preserve">Hipótesis sujeta a estimación</x:t>
        </x:is>
      </x:c>
    </x:row>
    <x:row r="13"/>
    <x:row r="14"/>
    <x:row r="15">
      <x:c r="A15" s="64" t="inlineStr">
        <x:is>
          <x:t xml:space="preserve">Posición funcional</x:t>
        </x:is>
      </x:c>
      <x:c r="B15" s="65" t="inlineStr">
        <x:is>
          <x:t xml:space="preserve">E</x:t>
        </x:is>
      </x:c>
      <x:c r="C15" s="65" t="inlineStr">
        <x:is>
          <x:t xml:space="preserve">R</x:t>
        </x:is>
      </x:c>
      <x:c r="D15" s="65" t="inlineStr">
        <x:is>
          <x:t xml:space="preserve">C</x:t>
        </x:is>
      </x:c>
      <x:c r="E15" s="65" t="inlineStr">
        <x:is>
          <x:t xml:space="preserve">sᵢ = αE+βR+γC</x:t>
        </x:is>
      </x:c>
      <x:c r="F15" s="65" t="inlineStr">
        <x:is>
          <x:t xml:space="preserve">V̄ᵢ</x:t>
        </x:is>
      </x:c>
      <x:c r="G15" s="65" t="inlineStr">
        <x:is>
          <x:t xml:space="preserve">Xᵢ(S)=S·V̄ᵢ</x:t>
        </x:is>
      </x:c>
      <x:c r="H15" s="65" t="inlineStr">
        <x:is>
          <x:t xml:space="preserve">Realiza valor</x:t>
        </x:is>
      </x:c>
      <x:c r="I15" s="65" t="inlineStr">
        <x:is>
          <x:t xml:space="preserve">Naturaleza</x:t>
        </x:is>
      </x:c>
      <x:c r="J15" s="66" t="inlineStr">
        <x:is>
          <x:t xml:space="preserve">Nota</x:t>
        </x:is>
      </x:c>
    </x:row>
    <x:row r="16">
      <x:c r="A16" s="67" t="inlineStr">
        <x:is>
          <x:t xml:space="preserve">Evaluación científica</x:t>
        </x:is>
      </x:c>
      <x:c r="B16" s="108" t="n">
        <x:v>100</x:v>
      </x:c>
      <x:c r="C16" s="108" t="n">
        <x:v>0</x:v>
      </x:c>
      <x:c r="D16" s="108" t="n">
        <x:v>0</x:v>
      </x:c>
      <x:c r="E16" s="175" t="n">
        <x:f>$B$10*B16+$B$11*C16+$B$12*D16</x:f>
        <x:v>40</x:v>
      </x:c>
      <x:c r="F16" s="321" t="n">
        <x:f>$B$7*E16/SUM($E$16:$E$21)</x:f>
        <x:v>1527.8429607453363</x:v>
      </x:c>
      <x:c r="G16" s="321" t="n">
        <x:f>$B$9*F16</x:f>
        <x:v>0</x:v>
      </x:c>
      <x:c r="H16" s="175" t="b">
        <x:f>$B$9=1</x:f>
        <x:v>0</x:v>
      </x:c>
      <x:c r="I16" s="67" t="inlineStr">
        <x:is>
          <x:t xml:space="preserve">Derecho contingente</x:t>
        </x:is>
      </x:c>
      <x:c r="J16" s="67" t="inlineStr">
        <x:is>
          <x:t xml:space="preserve">Ponderación demostrativa; no estimada</x:t>
        </x:is>
      </x:c>
    </x:row>
    <x:row r="17">
      <x:c r="A17" s="68" t="inlineStr">
        <x:is>
          <x:t xml:space="preserve">Constitución jurídica</x:t>
        </x:is>
      </x:c>
      <x:c r="B17" s="109" t="n">
        <x:v>0</x:v>
      </x:c>
      <x:c r="C17" s="109" t="n">
        <x:v>100</x:v>
      </x:c>
      <x:c r="D17" s="109" t="n">
        <x:v>0</x:v>
      </x:c>
      <x:c r="E17" s="176" t="n">
        <x:f>$B$10*B17+$B$11*C17+$B$12*D17</x:f>
        <x:v>35</x:v>
      </x:c>
      <x:c r="F17" s="322" t="n">
        <x:f>$B$7*E17/SUM($E$16:$E$21)</x:f>
        <x:v>1336.8625906521693</x:v>
      </x:c>
      <x:c r="G17" s="322" t="n">
        <x:f>$B$9*F17</x:f>
        <x:v>0</x:v>
      </x:c>
      <x:c r="H17" s="176" t="b">
        <x:f>$B$9=1</x:f>
        <x:v>0</x:v>
      </x:c>
      <x:c r="I17" s="68" t="inlineStr">
        <x:is>
          <x:t xml:space="preserve">Derecho contingente</x:t>
        </x:is>
      </x:c>
      <x:c r="J17" s="68" t="inlineStr">
        <x:is>
          <x:t xml:space="preserve">Ponderación demostrativa; no estimada</x:t>
        </x:is>
      </x:c>
    </x:row>
    <x:row r="18">
      <x:c r="A18" s="68" t="inlineStr">
        <x:is>
          <x:t xml:space="preserve">Cooperación cívica</x:t>
        </x:is>
      </x:c>
      <x:c r="B18" s="109" t="n">
        <x:v>0</x:v>
      </x:c>
      <x:c r="C18" s="109" t="n">
        <x:v>0</x:v>
      </x:c>
      <x:c r="D18" s="109" t="n">
        <x:v>100</x:v>
      </x:c>
      <x:c r="E18" s="176" t="n">
        <x:f>$B$10*B18+$B$11*C18+$B$12*D18</x:f>
        <x:v>25</x:v>
      </x:c>
      <x:c r="F18" s="322" t="n">
        <x:f>$B$7*E18/SUM($E$16:$E$21)</x:f>
        <x:v>954.9018504658353</x:v>
      </x:c>
      <x:c r="G18" s="322" t="n">
        <x:f>$B$9*F18</x:f>
        <x:v>0</x:v>
      </x:c>
      <x:c r="H18" s="176" t="b">
        <x:f>$B$9=1</x:f>
        <x:v>0</x:v>
      </x:c>
      <x:c r="I18" s="68" t="inlineStr">
        <x:is>
          <x:t xml:space="preserve">Derecho contingente</x:t>
        </x:is>
      </x:c>
      <x:c r="J18" s="68" t="inlineStr">
        <x:is>
          <x:t xml:space="preserve">Ponderación demostrativa; no estimada</x:t>
        </x:is>
      </x:c>
    </x:row>
    <x:row r="19">
      <x:c r="A19" s="68" t="inlineStr">
        <x:is>
          <x:t xml:space="preserve">Verificación independiente</x:t>
        </x:is>
      </x:c>
      <x:c r="B19" s="109" t="n">
        <x:v>70</x:v>
      </x:c>
      <x:c r="C19" s="109" t="n">
        <x:v>20</x:v>
      </x:c>
      <x:c r="D19" s="109" t="n">
        <x:v>10</x:v>
      </x:c>
      <x:c r="E19" s="176" t="n">
        <x:f>$B$10*B19+$B$11*C19+$B$12*D19</x:f>
        <x:v>37.5</x:v>
      </x:c>
      <x:c r="F19" s="322" t="n">
        <x:f>$B$7*E19/SUM($E$16:$E$21)</x:f>
        <x:v>1432.352775698753</x:v>
      </x:c>
      <x:c r="G19" s="322" t="n">
        <x:f>$B$9*F19</x:f>
        <x:v>0</x:v>
      </x:c>
      <x:c r="H19" s="176" t="b">
        <x:f>$B$9=1</x:f>
        <x:v>0</x:v>
      </x:c>
      <x:c r="I19" s="68" t="inlineStr">
        <x:is>
          <x:t xml:space="preserve">Derecho contingente</x:t>
        </x:is>
      </x:c>
      <x:c r="J19" s="68" t="inlineStr">
        <x:is>
          <x:t xml:space="preserve">Ponderación demostrativa; no estimada</x:t>
        </x:is>
      </x:c>
    </x:row>
    <x:row r="20">
      <x:c r="A20" s="68" t="inlineStr">
        <x:is>
          <x:t xml:space="preserve">Implantación técnica</x:t>
        </x:is>
      </x:c>
      <x:c r="B20" s="109" t="n">
        <x:v>20</x:v>
      </x:c>
      <x:c r="C20" s="109" t="n">
        <x:v>60</x:v>
      </x:c>
      <x:c r="D20" s="109" t="n">
        <x:v>20</x:v>
      </x:c>
      <x:c r="E20" s="176" t="n">
        <x:f>$B$10*B20+$B$11*C20+$B$12*D20</x:f>
        <x:v>34</x:v>
      </x:c>
      <x:c r="F20" s="322" t="n">
        <x:f>$B$7*E20/SUM($E$16:$E$21)</x:f>
        <x:v>1298.6665166335358</x:v>
      </x:c>
      <x:c r="G20" s="322" t="n">
        <x:f>$B$9*F20</x:f>
        <x:v>0</x:v>
      </x:c>
      <x:c r="H20" s="176" t="b">
        <x:f>$B$9=1</x:f>
        <x:v>0</x:v>
      </x:c>
      <x:c r="I20" s="68" t="inlineStr">
        <x:is>
          <x:t xml:space="preserve">Derecho contingente</x:t>
        </x:is>
      </x:c>
      <x:c r="J20" s="68" t="inlineStr">
        <x:is>
          <x:t xml:space="preserve">Ponderación demostrativa; no estimada</x:t>
        </x:is>
      </x:c>
    </x:row>
    <x:row r="21">
      <x:c r="A21" s="69" t="inlineStr">
        <x:is>
          <x:t xml:space="preserve">Trazabilidad metodológica</x:t>
        </x:is>
      </x:c>
      <x:c r="B21" s="110" t="n">
        <x:v>50</x:v>
      </x:c>
      <x:c r="C21" s="110" t="n">
        <x:v>30</x:v>
      </x:c>
      <x:c r="D21" s="110" t="n">
        <x:v>20</x:v>
      </x:c>
      <x:c r="E21" s="177" t="n">
        <x:f>$B$10*B21+$B$11*C21+$B$12*D21</x:f>
        <x:v>35.5</x:v>
      </x:c>
      <x:c r="F21" s="323" t="n">
        <x:f>$B$7*E21/SUM($E$16:$E$21)</x:f>
        <x:v>1355.9606276614861</x:v>
      </x:c>
      <x:c r="G21" s="323" t="n">
        <x:f>$B$9*F21</x:f>
        <x:v>0</x:v>
      </x:c>
      <x:c r="H21" s="177" t="b">
        <x:f>$B$9=1</x:f>
        <x:v>0</x:v>
      </x:c>
      <x:c r="I21" s="69" t="inlineStr">
        <x:is>
          <x:t xml:space="preserve">Derecho contingente</x:t>
        </x:is>
      </x:c>
      <x:c r="J21" s="69" t="inlineStr">
        <x:is>
          <x:t xml:space="preserve">Ponderación demostrativa; no estimada</x:t>
        </x:is>
      </x:c>
    </x:row>
    <x:row r="22"/>
    <x:row r="23"/>
    <x:row r="24">
      <x:c r="A24" s="64" t="inlineStr">
        <x:is>
          <x:t xml:space="preserve">Control</x:t>
        </x:is>
      </x:c>
      <x:c r="B24" s="65" t="inlineStr">
        <x:is>
          <x:t xml:space="preserve">Resultado</x:t>
        </x:is>
      </x:c>
      <x:c r="C24" s="65" t="inlineStr">
        <x:is>
          <x:t xml:space="preserve">Límite</x:t>
        </x:is>
      </x:c>
      <x:c r="D24" s="65" t="inlineStr">
        <x:is>
          <x:t xml:space="preserve">Estado</x:t>
        </x:is>
      </x:c>
      <x:c r="E24" s="65" t="inlineStr">
        <x:is>
          <x:t xml:space="preserve">Lectura</x:t>
        </x:is>
      </x:c>
      <x:c r="F24" s="66" t="inlineStr">
        <x:is>
          <x:t xml:space="preserve">Fórmula</x:t>
        </x:is>
      </x:c>
    </x:row>
    <x:row r="25">
      <x:c r="A25" t="inlineStr">
        <x:is>
          <x:t xml:space="preserve">Reserva total</x:t>
        </x:is>
      </x:c>
      <x:c r="B25" s="324" t="n">
        <x:f>SUM(F16:F21)</x:f>
        <x:v>7906.587321857116</x:v>
      </x:c>
      <x:c r="C25" s="324" t="n">
        <x:f>B7</x:f>
        <x:v>7906.587321857116</x:v>
      </x:c>
      <x:c r="D25" t="b">
        <x:f>B25&lt;=C25</x:f>
        <x:v>1</x:v>
      </x:c>
      <x:c r="E25" t="inlineStr">
        <x:is>
          <x:t xml:space="preserve">Comprobación tautológica en el ejemplo q=1; una aplicación real debe autorizar R con 0≤R≤ρA_ref</x:t>
        </x:is>
      </x:c>
      <x:c r="F25" t="inlineStr">
        <x:is>
          <x:t xml:space="preserve">R≤ρA_ref; ejemplo mostrado: R=ρA_ref</x:t>
        </x:is>
      </x:c>
    </x:row>
    <x:row r="26">
      <x:c r="A26" t="inlineStr">
        <x:is>
          <x:t xml:space="preserve">Patrimonio comunitario</x:t>
        </x:is>
      </x:c>
      <x:c r="B26" s="324" t="n">
        <x:f>B5-B25</x:f>
        <x:v>782752.1448638545</x:v>
      </x:c>
      <x:c r="C26" s="324" t="n">
        <x:f>B8</x:f>
        <x:v>782752.1448638545</x:v>
      </x:c>
      <x:c r="D26" t="b">
        <x:f>B26&gt;=C26</x:f>
        <x:v>1</x:v>
      </x:c>
      <x:c r="E26" t="inlineStr">
        <x:is>
          <x:t xml:space="preserve">Conserva como mínimo el 99 % de A_ref</x:t>
        </x:is>
      </x:c>
      <x:c r="F26" t="inlineStr">
        <x:is>
          <x:t xml:space="preserve">A_ref-ΣV̄ᵢ ≥ 0,99A_ref</x:t>
        </x:is>
      </x:c>
    </x:row>
    <x:row r="27">
      <x:c r="A27" t="inlineStr">
        <x:is>
          <x:t xml:space="preserve">Realización</x:t>
        </x:is>
      </x:c>
      <x:c r="B27" s="324" t="n">
        <x:f>SUM(G16:G21)</x:f>
        <x:v>0</x:v>
      </x:c>
      <x:c r="C27" s="324" t="n">
        <x:f>B9*B7</x:f>
        <x:v>0</x:v>
      </x:c>
      <x:c r="D27" t="b">
        <x:f>ABS(B27-C27)&lt;'Trazabilidad parámetros'!B27</x:f>
        <x:v>1</x:v>
      </x:c>
      <x:c r="E27" t="inlineStr">
        <x:is>
          <x:t xml:space="preserve">Solo existe valor realizado si S=1</x:t>
        </x:is>
      </x:c>
      <x:c r="F27" t="inlineStr">
        <x:is>
          <x:t xml:space="preserve">Xᵢ(S)=S·V̄ᵢ</x:t>
        </x:is>
      </x:c>
    </x:row>
    <x:row r="28"/>
    <x:row r="29"/>
    <x:row r="30">
      <x:c r="A30" s="284" t="inlineStr">
        <x:is>
          <x:t xml:space="preserve">La tabla hace visible la dependencia patrimonial respecto de S=1. Las puntuaciones y ponderaciones son hipótesis demostrativas sujetas a estimación y revisión. Investigadores, responsables de la constitución jurídica y participantes pueden recibir derechos vinculados al resultado dentro del límite agregado del 1 %; la formalización no resuelve los problemas de independencia, igualdad o justificación normativa.</x:t>
        </x:is>
      </x:c>
      <x:c r="B30" s="69" t="n"/>
      <x:c r="C30" s="69" t="n"/>
      <x:c r="D30" s="69" t="n"/>
      <x:c r="E30" s="69" t="n"/>
      <x:c r="F30" s="69" t="n"/>
      <x:c r="G30" s="69" t="n"/>
      <x:c r="H30" s="69" t="n"/>
      <x:c r="I30" s="69" t="n"/>
      <x:c r="J30" s="285" t="n"/>
    </x:row>
    <x:row r="31">
      <x:c r="A31" s="286" t="n"/>
      <x:c r="J31" s="287" t="n"/>
    </x:row>
    <x:row r="32">
      <x:c r="A32" s="286" t="n"/>
      <x:c r="J32" s="287" t="n"/>
    </x:row>
    <x:row r="33">
      <x:c r="A33" s="288" t="n"/>
      <x:c r="B33" s="67" t="n"/>
      <x:c r="C33" s="67" t="n"/>
      <x:c r="D33" s="67" t="n"/>
      <x:c r="E33" s="67" t="n"/>
      <x:c r="F33" s="67" t="n"/>
      <x:c r="G33" s="67" t="n"/>
      <x:c r="H33" s="67" t="n"/>
      <x:c r="I33" s="67" t="n"/>
      <x:c r="J33" s="289" t="n"/>
    </x:row>
  </x:sheetData>
  <x:mergeCells>
    <x:mergeCell ref="A30:J33"/>
    <x:mergeCell ref="A2:H2"/>
    <x:mergeCell ref="A1:H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8" customWidth="1"/>
    <x:col min="2" max="2" width="12" customWidth="1"/>
    <x:col min="3" max="3" width="22" customWidth="1"/>
    <x:col min="4" max="4" width="15" customWidth="1"/>
    <x:col min="5" max="5" width="23" customWidth="1"/>
    <x:col min="6" max="6" width="23" customWidth="1"/>
    <x:col min="7" max="7" width="23" customWidth="1"/>
    <x:col min="8" max="8" width="18" customWidth="1"/>
    <x:col min="9" max="9" width="18" customWidth="1"/>
  </x:cols>
  <x:sheetData>
    <x:row r="1" ht="34" customHeight="1">
      <x:c r="A1" s="52" t="inlineStr">
        <x:is>
          <x:t xml:space="preserve">Escenarios condicionados</x:t>
        </x:is>
      </x:c>
    </x:row>
    <x:row r="2" ht="30" customHeight="1">
      <x:c r="A2" s="55" t="inlineStr">
        <x:is>
          <x:t xml:space="preserve">Cuatro combinaciones de supuestos; no se asignan probabilidades.</x:t>
        </x:is>
      </x:c>
    </x:row>
    <x:row r="3"/>
    <x:row r="4">
      <x:c r="A4" s="64" t="inlineStr">
        <x:is>
          <x:t xml:space="preserve">Escenario</x:t>
        </x:is>
      </x:c>
      <x:c r="B4" s="65" t="inlineStr">
        <x:is>
          <x:t xml:space="preserve">Estados</x:t>
        </x:is>
      </x:c>
      <x:c r="C4" s="65" t="str">
        <x:v>Retorno cartera base (sin crisis)</x:v>
      </x:c>
      <x:c r="D4" s="65" t="inlineStr">
        <x:is>
          <x:t xml:space="preserve">Coste</x:t>
        </x:is>
      </x:c>
      <x:c r="E4" s="65" t="inlineStr">
        <x:is>
          <x:t xml:space="preserve">Patrimonio final (M€)</x:t>
        </x:is>
      </x:c>
      <x:c r="F4" s="65" t="inlineStr">
        <x:is>
          <x:t xml:space="preserve">Aportaciones acumuladas (M€)</x:t>
        </x:is>
      </x:c>
      <x:c r="G4" s="65" t="inlineStr">
        <x:is>
          <x:t xml:space="preserve">Distribuciones acumuladas (M€)</x:t>
        </x:is>
      </x:c>
      <x:c r="H4" s="65" t="inlineStr">
        <x:is>
          <x:t xml:space="preserve">Años con distribución suspendida</x:t>
        </x:is>
      </x:c>
      <x:c r="I4" s="66" t="inlineStr">
        <x:is>
          <x:t xml:space="preserve">NAV final por UCA</x:t>
        </x:is>
      </x:c>
    </x:row>
    <x:row r="5">
      <x:c r="A5" s="67" t="inlineStr">
        <x:is>
          <x:t xml:space="preserve">Adverso</x:t>
        </x:is>
      </x:c>
      <x:c r="B5" s="67" t="n">
        <x:v>9</x:v>
      </x:c>
      <x:c r="C5" s="309" t="n">
        <x:v>0.0178</x:v>
      </x:c>
      <x:c r="D5" s="309" t="n">
        <x:v>0.0025</x:v>
      </x:c>
      <x:c r="E5" s="325" t="n">
        <x:v>1278313.221545925</x:v>
      </x:c>
      <x:c r="F5" s="325" t="n">
        <x:v>1208101.856419453</x:v>
      </x:c>
      <x:c r="G5" s="325" t="n">
        <x:v>258080.7678677302</x:v>
      </x:c>
      <x:c r="H5" s="325" t="n">
        <x:v>0</x:v>
      </x:c>
      <x:c r="I5" s="325" t="n">
        <x:v>1.34578424100534</x:v>
      </x:c>
    </x:row>
    <x:row r="6">
      <x:c r="A6" s="68" t="inlineStr">
        <x:is>
          <x:t xml:space="preserve">Prudente</x:t>
        </x:is>
      </x:c>
      <x:c r="B6" s="68" t="n">
        <x:v>12</x:v>
      </x:c>
      <x:c r="C6" s="311" t="n">
        <x:v>0.02830000000000001</x:v>
      </x:c>
      <x:c r="D6" s="311" t="n">
        <x:v>0.0022</x:v>
      </x:c>
      <x:c r="E6" s="326" t="n">
        <x:v>2297176.530974001</x:v>
      </x:c>
      <x:c r="F6" s="326" t="n">
        <x:v>1804000</x:v>
      </x:c>
      <x:c r="G6" s="326" t="n">
        <x:v>422709.6762905258</x:v>
      </x:c>
      <x:c r="H6" s="326" t="n">
        <x:v>0</x:v>
      </x:c>
      <x:c r="I6" s="326" t="n">
        <x:v>2.048712541601726</x:v>
      </x:c>
    </x:row>
    <x:row r="7">
      <x:c r="A7" s="68" t="inlineStr">
        <x:is>
          <x:t xml:space="preserve">Central</x:t>
        </x:is>
      </x:c>
      <x:c r="B7" s="68" t="n">
        <x:v>12</x:v>
      </x:c>
      <x:c r="C7" s="311" t="n">
        <x:v>0.03580000000000001</x:v>
      </x:c>
      <x:c r="D7" s="311" t="n">
        <x:v>0.0018</x:v>
      </x:c>
      <x:c r="E7" s="326" t="n">
        <x:v>3132093.305616128</x:v>
      </x:c>
      <x:c r="F7" s="326" t="n">
        <x:v>2170886.591359039</x:v>
      </x:c>
      <x:c r="G7" s="326" t="n">
        <x:v>527731.7889429817</x:v>
      </x:c>
      <x:c r="H7" s="326" t="n">
        <x:v>0</x:v>
      </x:c>
      <x:c r="I7" s="326" t="n">
        <x:v>2.780964525251184</x:v>
      </x:c>
    </x:row>
    <x:row r="8">
      <x:c r="A8" s="69" t="inlineStr">
        <x:is>
          <x:t xml:space="preserve">Favorable</x:t>
        </x:is>
      </x:c>
      <x:c r="B8" s="69" t="n">
        <x:v>15</x:v>
      </x:c>
      <x:c r="C8" s="313" t="n">
        <x:v>0.0433</x:v>
      </x:c>
      <x:c r="D8" s="313" t="n">
        <x:v>0.0015</x:v>
      </x:c>
      <x:c r="E8" s="327" t="n">
        <x:v>4889415.878680043</x:v>
      </x:c>
      <x:c r="F8" s="327" t="n">
        <x:v>2981964.71197034</x:v>
      </x:c>
      <x:c r="G8" s="327" t="n">
        <x:v>771617.5341069284</x:v>
      </x:c>
      <x:c r="H8" s="327" t="n">
        <x:v>0</x:v>
      </x:c>
      <x:c r="I8" s="327" t="n">
        <x:v>3.747593235948954</x:v>
      </x:c>
    </x:row>
    <x:row r="9"/>
    <x:row r="10"/>
    <x:row r="11">
      <x:c r="A11" s="284" t="inlineStr">
        <x:is>
          <x:t xml:space="preserve">Salida generada por pee_modelo.py v5.2.0. Los escenarios no representan intervalos de confianza ni cubren el espacio completo de resultados posibles.</x:t>
        </x:is>
      </x:c>
      <x:c r="B11" s="69" t="n"/>
      <x:c r="C11" s="69" t="n"/>
      <x:c r="D11" s="69" t="n"/>
      <x:c r="E11" s="69" t="n"/>
      <x:c r="F11" s="69" t="n"/>
      <x:c r="G11" s="69" t="n"/>
      <x:c r="H11" s="69" t="n"/>
      <x:c r="I11" s="285" t="n"/>
    </x:row>
    <x:row r="12">
      <x:c r="A12" s="286" t="n"/>
      <x:c r="I12" s="287" t="n"/>
    </x:row>
    <x:row r="13">
      <x:c r="A13" s="288" t="n"/>
      <x:c r="B13" s="67" t="n"/>
      <x:c r="C13" s="67" t="n"/>
      <x:c r="D13" s="67" t="n"/>
      <x:c r="E13" s="67" t="n"/>
      <x:c r="F13" s="67" t="n"/>
      <x:c r="G13" s="67" t="n"/>
      <x:c r="H13" s="67" t="n"/>
      <x:c r="I13" s="289" t="n"/>
    </x:row>
  </x:sheetData>
  <x:mergeCells>
    <x:mergeCell ref="A2:H2"/>
    <x:mergeCell ref="A11:I13"/>
    <x:mergeCell ref="A1:H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8" customWidth="1"/>
    <x:col min="2" max="2" width="12" customWidth="1"/>
    <x:col min="3" max="3" width="22" customWidth="1"/>
    <x:col min="4" max="4" width="15" customWidth="1"/>
    <x:col min="5" max="5" width="23" customWidth="1"/>
    <x:col min="6" max="6" width="23" customWidth="1"/>
    <x:col min="7" max="7" width="23" customWidth="1"/>
    <x:col min="8" max="8" width="18" customWidth="1"/>
    <x:col min="9" max="9" width="18" customWidth="1"/>
  </x:cols>
  <x:sheetData>
    <x:row r="1" ht="34" customHeight="1">
      <x:c r="A1" s="52" t="inlineStr">
        <x:is>
          <x:t xml:space="preserve">Pruebas de resistencia</x:t>
        </x:is>
      </x:c>
    </x:row>
    <x:row r="2" ht="30" customHeight="1">
      <x:c r="A2" s="55" t="inlineStr">
        <x:is>
          <x:t xml:space="preserve">Choques deterministas aplicados a años o entornos especificados.</x:t>
        </x:is>
      </x:c>
    </x:row>
    <x:row r="3"/>
    <x:row r="4">
      <x:c r="A4" s="64" t="inlineStr">
        <x:is>
          <x:t xml:space="preserve">Escenario</x:t>
        </x:is>
      </x:c>
      <x:c r="B4" s="65" t="inlineStr">
        <x:is>
          <x:t xml:space="preserve">Estados</x:t>
        </x:is>
      </x:c>
      <x:c r="C4" s="65" t="inlineStr">
        <x:is>
          <x:t xml:space="preserve">Retorno cartera esperado</x:t>
        </x:is>
      </x:c>
      <x:c r="D4" s="65" t="inlineStr">
        <x:is>
          <x:t xml:space="preserve">Coste</x:t>
        </x:is>
      </x:c>
      <x:c r="E4" s="65" t="inlineStr">
        <x:is>
          <x:t xml:space="preserve">Patrimonio final (M€)</x:t>
        </x:is>
      </x:c>
      <x:c r="F4" s="65" t="inlineStr">
        <x:is>
          <x:t xml:space="preserve">Aportaciones acumuladas (M€)</x:t>
        </x:is>
      </x:c>
      <x:c r="G4" s="65" t="inlineStr">
        <x:is>
          <x:t xml:space="preserve">Distribuciones acumuladas (M€)</x:t>
        </x:is>
      </x:c>
      <x:c r="H4" s="65" t="inlineStr">
        <x:is>
          <x:t xml:space="preserve">Años con distribución suspendida</x:t>
        </x:is>
      </x:c>
      <x:c r="I4" s="66" t="inlineStr">
        <x:is>
          <x:t xml:space="preserve">NAV final por UCA</x:t>
        </x:is>
      </x:c>
    </x:row>
    <x:row r="5">
      <x:c r="A5" s="67" t="inlineStr">
        <x:is>
          <x:t xml:space="preserve">Choque temprano: RV -35 pp</x:t>
        </x:is>
      </x:c>
      <x:c r="B5" s="67" t="n">
        <x:v>12</x:v>
      </x:c>
      <x:c r="C5" s="309" t="n">
        <x:v>0.03580000000000001</x:v>
      </x:c>
      <x:c r="D5" s="309" t="n">
        <x:v>0.0018</x:v>
      </x:c>
      <x:c r="E5" s="325" t="n">
        <x:v>3123008.451283114</x:v>
      </x:c>
      <x:c r="F5" s="325" t="n">
        <x:v>2169992.455039038</x:v>
      </x:c>
      <x:c r="G5" s="325" t="n">
        <x:v>525410.403358588</x:v>
      </x:c>
      <x:c r="H5" s="325" t="n">
        <x:v>0</x:v>
      </x:c>
      <x:c r="I5" s="325" t="n">
        <x:v>2.135770643855549</x:v>
      </x:c>
    </x:row>
    <x:row r="6">
      <x:c r="A6" s="68" t="inlineStr">
        <x:is>
          <x:t xml:space="preserve">Choque maduración: RV -35 pp</x:t>
        </x:is>
      </x:c>
      <x:c r="B6" s="68" t="n">
        <x:v>12</x:v>
      </x:c>
      <x:c r="C6" s="311" t="n">
        <x:v>0.03580000000000001</x:v>
      </x:c>
      <x:c r="D6" s="311" t="n">
        <x:v>0.0018</x:v>
      </x:c>
      <x:c r="E6" s="326" t="n">
        <x:v>2783859.474374305</x:v>
      </x:c>
      <x:c r="F6" s="326" t="n">
        <x:v>2165726.429567724</x:v>
      </x:c>
      <x:c r="G6" s="326" t="n">
        <x:v>455766.0385013513</x:v>
      </x:c>
      <x:c r="H6" s="326" t="n">
        <x:v>0</x:v>
      </x:c>
      <x:c r="I6" s="326" t="n">
        <x:v>2.120441385755997</x:v>
      </x:c>
    </x:row>
    <x:row r="7">
      <x:c r="A7" s="68" t="inlineStr">
        <x:is>
          <x:t xml:space="preserve">Choque inflación/tipos (aditivo)</x:t>
        </x:is>
      </x:c>
      <x:c r="B7" s="68" t="n">
        <x:v>12</x:v>
      </x:c>
      <x:c r="C7" s="311" t="n">
        <x:v>0.03580000000000001</x:v>
      </x:c>
      <x:c r="D7" s="311" t="n">
        <x:v>0.0018</x:v>
      </x:c>
      <x:c r="E7" s="326" t="n">
        <x:v>2909020.28683227</x:v>
      </x:c>
      <x:c r="F7" s="326" t="n">
        <x:v>2168306.510463381</x:v>
      </x:c>
      <x:c r="G7" s="326" t="n">
        <x:v>481631.681027527</x:v>
      </x:c>
      <x:c r="H7" s="326" t="n">
        <x:v>0</x:v>
      </x:c>
      <x:c r="I7" s="326" t="n">
        <x:v>2.355848052587314</x:v>
      </x:c>
    </x:row>
    <x:row r="8">
      <x:c r="A8" s="69" t="inlineStr">
        <x:is>
          <x:t xml:space="preserve">Entorno bajo durante todo el horizonte</x:t>
        </x:is>
      </x:c>
      <x:c r="B8" s="69" t="n">
        <x:v>12</x:v>
      </x:c>
      <x:c r="C8" s="313" t="n">
        <x:v>0.0173</x:v>
      </x:c>
      <x:c r="D8" s="313" t="n">
        <x:v>0.0018</x:v>
      </x:c>
      <x:c r="E8" s="327" t="n">
        <x:v>2293153.463536146</x:v>
      </x:c>
      <x:c r="F8" s="327" t="n">
        <x:v>2170886.591359039</x:v>
      </x:c>
      <x:c r="G8" s="327" t="n">
        <x:v>428518.8168733804</x:v>
      </x:c>
      <x:c r="H8" s="327" t="n">
        <x:v>0</x:v>
      </x:c>
      <x:c r="I8" s="327" t="n">
        <x:v>1.361495295461089</x:v>
      </x:c>
    </x:row>
    <x:row r="9"/>
    <x:row r="10"/>
    <x:row r="11">
      <x:c r="A11" s="284" t="inlineStr">
        <x:is>
          <x:t xml:space="preserve">Estas pruebas muestran sensibilidad a choques seleccionados; no equivalen a un ejercicio regulatorio completo ni modelizan endógenamente liquidez, ventas forzadas, reacciones fiscales o contagio.</x:t>
        </x:is>
      </x:c>
      <x:c r="B11" s="69" t="n"/>
      <x:c r="C11" s="69" t="n"/>
      <x:c r="D11" s="69" t="n"/>
      <x:c r="E11" s="69" t="n"/>
      <x:c r="F11" s="69" t="n"/>
      <x:c r="G11" s="69" t="n"/>
      <x:c r="H11" s="69" t="n"/>
      <x:c r="I11" s="285" t="n"/>
    </x:row>
    <x:row r="12">
      <x:c r="A12" s="286" t="n"/>
      <x:c r="I12" s="287" t="n"/>
    </x:row>
    <x:row r="13">
      <x:c r="A13" s="288" t="n"/>
      <x:c r="B13" s="67" t="n"/>
      <x:c r="C13" s="67" t="n"/>
      <x:c r="D13" s="67" t="n"/>
      <x:c r="E13" s="67" t="n"/>
      <x:c r="F13" s="67" t="n"/>
      <x:c r="G13" s="67" t="n"/>
      <x:c r="H13" s="67" t="n"/>
      <x:c r="I13" s="289" t="n"/>
    </x:row>
  </x:sheetData>
  <x:mergeCells>
    <x:mergeCell ref="A2:H2"/>
    <x:mergeCell ref="A11:I13"/>
    <x:mergeCell ref="A1:H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62" customWidth="1"/>
    <x:col min="2" max="2" width="24" customWidth="1"/>
    <x:col min="4" max="4" width="18" customWidth="1"/>
    <x:col min="5" max="5" width="18" customWidth="1"/>
    <x:col min="6" max="6" width="18" customWidth="1"/>
    <x:col min="7" max="7" width="18" customWidth="1"/>
    <x:col min="8" max="8" width="18" customWidth="1"/>
  </x:cols>
  <x:sheetData>
    <x:row r="1" ht="34" customHeight="1">
      <x:c r="A1" s="52" t="str">
        <x:v>Monte Carlo v5.2.0: resumen condicionado</x:v>
      </x:c>
    </x:row>
    <x:row r="2" ht="30" customHeight="1">
      <x:c r="A2" s="55" t="inlineStr">
        <x:is>
          <x:t xml:space="preserve">100.000 trayectorias, semilla 2026; resultados condicionados a distribuciones y parámetros declarados.</x:t>
        </x:is>
      </x:c>
    </x:row>
    <x:row r="3"/>
    <x:row r="4">
      <x:c r="A4" s="64" t="inlineStr">
        <x:is>
          <x:t xml:space="preserve">Indicador</x:t>
        </x:is>
      </x:c>
      <x:c r="B4" s="66" t="inlineStr">
        <x:is>
          <x:t xml:space="preserve">Valor</x:t>
        </x:is>
      </x:c>
      <x:c r="D4" s="284" t="inlineStr">
        <x:is>
          <x:t xml:space="preserve">Las probabilidades no son frecuencias observadas. El modelo usa colas Student-t, correlaciones constantes y crisis exógenas; no estima causalidad ni incorpora una economía general de equilibrio.</x:t>
        </x:is>
      </x:c>
      <x:c r="E4" s="69" t="n"/>
      <x:c r="F4" s="69" t="str">
        <x:v>El retorno base no es la media incondicional del generador: la crisis configurada reduce su media teórica aproximada antes del truncamiento. Véase MC error.</x:v>
      </x:c>
      <x:c r="G4" s="69" t="n"/>
      <x:c r="H4" s="285" t="n"/>
    </x:row>
    <x:row r="5">
      <x:c r="A5" s="67" t="inlineStr">
        <x:is>
          <x:t xml:space="preserve">Simulaciones</x:t>
        </x:is>
      </x:c>
      <x:c r="B5" s="328" t="n">
        <x:v>100000</x:v>
      </x:c>
      <x:c r="D5" s="286" t="n"/>
      <x:c r="H5" s="287" t="n"/>
    </x:row>
    <x:row r="6">
      <x:c r="A6" s="68" t="inlineStr">
        <x:is>
          <x:t xml:space="preserve">Media patrimonio final (M€)</x:t>
        </x:is>
      </x:c>
      <x:c r="B6" s="329" t="n">
        <x:v>2921443.934080987</x:v>
      </x:c>
      <x:c r="D6" s="286" t="n"/>
      <x:c r="H6" s="287" t="n"/>
    </x:row>
    <x:row r="7">
      <x:c r="A7" s="68" t="inlineStr">
        <x:is>
          <x:t xml:space="preserve">Mediana patrimonio final (M€)</x:t>
        </x:is>
      </x:c>
      <x:c r="B7" s="329" t="n">
        <x:v>2713299.637332425</x:v>
      </x:c>
      <x:c r="D7" s="286" t="n"/>
      <x:c r="H7" s="287" t="n"/>
    </x:row>
    <x:row r="8">
      <x:c r="A8" s="68" t="inlineStr">
        <x:is>
          <x:t xml:space="preserve">Percentil 5 patrimonio final (M€)</x:t>
        </x:is>
      </x:c>
      <x:c r="B8" s="329" t="n">
        <x:v>1588999.052837526</x:v>
      </x:c>
      <x:c r="D8" s="288" t="n"/>
      <x:c r="E8" s="67" t="n"/>
      <x:c r="F8" s="67" t="n"/>
      <x:c r="G8" s="67" t="n"/>
      <x:c r="H8" s="289" t="n"/>
    </x:row>
    <x:row r="9">
      <x:c r="A9" s="68" t="inlineStr">
        <x:is>
          <x:t xml:space="preserve">Percentil 95 patrimonio final (M€)</x:t>
        </x:is>
      </x:c>
      <x:c r="B9" s="329" t="n">
        <x:v>4978473.509562775</x:v>
      </x:c>
    </x:row>
    <x:row r="10">
      <x:c r="A10" s="68" t="inlineStr">
        <x:is>
          <x:t xml:space="preserve">Probabilidad stock terminal &lt; aportaciones</x:t>
        </x:is>
      </x:c>
      <x:c r="B10" s="329" t="n">
        <x:v>0.24015</x:v>
      </x:c>
    </x:row>
    <x:row r="11">
      <x:c r="A11" s="68" t="inlineStr">
        <x:is>
          <x:t xml:space="preserve">Probabilidad recursos totales &lt; aportaciones</x:t>
        </x:is>
      </x:c>
      <x:c r="B11" s="329" t="n">
        <x:v>0.10357</x:v>
      </x:c>
    </x:row>
    <x:row r="12">
      <x:c r="A12" s="68" t="inlineStr">
        <x:is>
          <x:t xml:space="preserve">Probabilidad patrimonio terminal = 0</x:t>
        </x:is>
      </x:c>
      <x:c r="B12" s="329" t="n">
        <x:v>0</x:v>
      </x:c>
    </x:row>
    <x:row r="13">
      <x:c r="A13" s="68" t="inlineStr">
        <x:is>
          <x:t xml:space="preserve">Probabilidad ahorrador estandar 2026 &lt; aportaciones</x:t>
        </x:is>
      </x:c>
      <x:c r="B13" s="329" t="n">
        <x:v>0.08387</x:v>
      </x:c>
    </x:row>
    <x:row r="14">
      <x:c r="A14" s="68" t="inlineStr">
        <x:is>
          <x:t xml:space="preserve">Mediana ratio recursos/aportaciones ahorrador 2026</x:t>
        </x:is>
      </x:c>
      <x:c r="B14" s="329" t="n">
        <x:v>1.65936943833983</x:v>
      </x:c>
    </x:row>
    <x:row r="15">
      <x:c r="A15" s="68" t="inlineStr">
        <x:is>
          <x:t xml:space="preserve">Probabilidad ahorrador estandar 2036 &lt; aportaciones</x:t>
        </x:is>
      </x:c>
      <x:c r="B15" s="329" t="n">
        <x:v>0.11622</x:v>
      </x:c>
    </x:row>
    <x:row r="16">
      <x:c r="A16" s="68" t="inlineStr">
        <x:is>
          <x:t xml:space="preserve">Mediana ratio recursos/aportaciones ahorrador 2036</x:t>
        </x:is>
      </x:c>
      <x:c r="B16" s="329" t="n">
        <x:v>1.446213604507811</x:v>
      </x:c>
    </x:row>
    <x:row r="17">
      <x:c r="A17" s="68" t="inlineStr">
        <x:is>
          <x:t xml:space="preserve">Probabilidad ahorrador estandar 2046 &lt; aportaciones</x:t>
        </x:is>
      </x:c>
      <x:c r="B17" s="329" t="n">
        <x:v>0.16598</x:v>
      </x:c>
    </x:row>
    <x:row r="18">
      <x:c r="A18" s="69" t="inlineStr">
        <x:is>
          <x:t xml:space="preserve">Mediana ratio recursos/aportaciones ahorrador 2046</x:t>
        </x:is>
      </x:c>
      <x:c r="B18" s="330" t="n">
        <x:v>1.275287355575889</x:v>
      </x:c>
    </x:row>
  </x:sheetData>
  <x:mergeCells>
    <x:mergeCell ref="A2:H2"/>
    <x:mergeCell ref="D4:H8"/>
    <x:mergeCell ref="A1:H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0" customWidth="1"/>
    <x:col min="2" max="2" width="20" customWidth="1"/>
    <x:col min="3" max="3" width="20" customWidth="1"/>
    <x:col min="4" max="4" width="20" customWidth="1"/>
    <x:col min="5" max="5" width="20" customWidth="1"/>
    <x:col min="6" max="6" width="20" customWidth="1"/>
    <x:col min="7" max="7" width="20" customWidth="1"/>
    <x:col min="8" max="8" width="20" customWidth="1"/>
    <x:col min="9" max="9" width="20" customWidth="1"/>
    <x:col min="10" max="10" width="20" customWidth="1"/>
  </x:cols>
  <x:sheetData>
    <x:row r="1" ht="34" customHeight="1">
      <x:c r="A1" s="52" t="inlineStr">
        <x:is>
          <x:t xml:space="preserve">Monte Carlo: percentiles por año</x:t>
        </x:is>
      </x:c>
    </x:row>
    <x:row r="2" ht="30" customHeight="1">
      <x:c r="A2" s="55" t="inlineStr">
        <x:is>
          <x:t xml:space="preserve">Bandas empíricas internas a la simulación, no intervalos de confianza externos.</x:t>
        </x:is>
      </x:c>
    </x:row>
    <x:row r="3"/>
    <x:row r="4">
      <x:c r="A4" s="64" t="inlineStr">
        <x:is>
          <x:t xml:space="preserve">Año</x:t>
        </x:is>
      </x:c>
      <x:c r="B4" s="65" t="inlineStr">
        <x:is>
          <x:t xml:space="preserve">P1 patrimonio (M€)</x:t>
        </x:is>
      </x:c>
      <x:c r="C4" s="65" t="inlineStr">
        <x:is>
          <x:t xml:space="preserve">P5 patrimonio (M€)</x:t>
        </x:is>
      </x:c>
      <x:c r="D4" s="65" t="inlineStr">
        <x:is>
          <x:t xml:space="preserve">P10 patrimonio (M€)</x:t>
        </x:is>
      </x:c>
      <x:c r="E4" s="65" t="inlineStr">
        <x:is>
          <x:t xml:space="preserve">P25 patrimonio (M€)</x:t>
        </x:is>
      </x:c>
      <x:c r="F4" s="65" t="inlineStr">
        <x:is>
          <x:t xml:space="preserve">P50 patrimonio (M€)</x:t>
        </x:is>
      </x:c>
      <x:c r="G4" s="65" t="inlineStr">
        <x:is>
          <x:t xml:space="preserve">P75 patrimonio (M€)</x:t>
        </x:is>
      </x:c>
      <x:c r="H4" s="65" t="inlineStr">
        <x:is>
          <x:t xml:space="preserve">P90 patrimonio (M€)</x:t>
        </x:is>
      </x:c>
      <x:c r="I4" s="65" t="inlineStr">
        <x:is>
          <x:t xml:space="preserve">P95 patrimonio (M€)</x:t>
        </x:is>
      </x:c>
      <x:c r="J4" s="66" t="inlineStr">
        <x:is>
          <x:t xml:space="preserve">P99 patrimonio (M€)</x:t>
        </x:is>
      </x:c>
    </x:row>
    <x:row r="5">
      <x:c r="A5" s="67" t="n">
        <x:v>2026</x:v>
      </x:c>
      <x:c r="B5" s="325" t="n">
        <x:v>5500</x:v>
      </x:c>
      <x:c r="C5" s="325" t="n">
        <x:v>5500</x:v>
      </x:c>
      <x:c r="D5" s="325" t="n">
        <x:v>5500</x:v>
      </x:c>
      <x:c r="E5" s="325" t="n">
        <x:v>5500</x:v>
      </x:c>
      <x:c r="F5" s="325" t="n">
        <x:v>5500</x:v>
      </x:c>
      <x:c r="G5" s="325" t="n">
        <x:v>5500</x:v>
      </x:c>
      <x:c r="H5" s="325" t="n">
        <x:v>5500</x:v>
      </x:c>
      <x:c r="I5" s="325" t="n">
        <x:v>5500</x:v>
      </x:c>
      <x:c r="J5" s="325" t="n">
        <x:v>5500</x:v>
      </x:c>
    </x:row>
    <x:row r="6">
      <x:c r="A6" s="68" t="n">
        <x:v>2027</x:v>
      </x:c>
      <x:c r="B6" s="326" t="n">
        <x:v>9607.529247797343</x:v>
      </x:c>
      <x:c r="C6" s="326" t="n">
        <x:v>10218.20517304778</x:v>
      </x:c>
      <x:c r="D6" s="326" t="n">
        <x:v>10482.77757148287</x:v>
      </x:c>
      <x:c r="E6" s="326" t="n">
        <x:v>10860.1385362145</x:v>
      </x:c>
      <x:c r="F6" s="326" t="n">
        <x:v>11218.65913303291</x:v>
      </x:c>
      <x:c r="G6" s="326" t="n">
        <x:v>11566.07218676077</x:v>
      </x:c>
      <x:c r="H6" s="326" t="n">
        <x:v>11912.58411993873</x:v>
      </x:c>
      <x:c r="I6" s="326" t="n">
        <x:v>12149.32527409933</x:v>
      </x:c>
      <x:c r="J6" s="326" t="n">
        <x:v>12719.82849002752</x:v>
      </x:c>
    </x:row>
    <x:row r="7">
      <x:c r="A7" s="68" t="n">
        <x:v>2028</x:v>
      </x:c>
      <x:c r="B7" s="326" t="n">
        <x:v>19212.25907449959</x:v>
      </x:c>
      <x:c r="C7" s="326" t="n">
        <x:v>20440.71589880312</x:v>
      </x:c>
      <x:c r="D7" s="326" t="n">
        <x:v>21013.03657470794</x:v>
      </x:c>
      <x:c r="E7" s="326" t="n">
        <x:v>21848.1688378821</x:v>
      </x:c>
      <x:c r="F7" s="326" t="n">
        <x:v>22704.99350731367</x:v>
      </x:c>
      <x:c r="G7" s="326" t="n">
        <x:v>23569.06691223071</x:v>
      </x:c>
      <x:c r="H7" s="326" t="n">
        <x:v>24398.18759945447</x:v>
      </x:c>
      <x:c r="I7" s="326" t="n">
        <x:v>24957.66423666248</x:v>
      </x:c>
      <x:c r="J7" s="326" t="n">
        <x:v>26212.41829089524</x:v>
      </x:c>
    </x:row>
    <x:row r="8">
      <x:c r="A8" s="68" t="n">
        <x:v>2029</x:v>
      </x:c>
      <x:c r="B8" s="326" t="n">
        <x:v>27579.99275691099</x:v>
      </x:c>
      <x:c r="C8" s="326" t="n">
        <x:v>30007.71999452455</x:v>
      </x:c>
      <x:c r="D8" s="326" t="n">
        <x:v>31140.34350946965</x:v>
      </x:c>
      <x:c r="E8" s="326" t="n">
        <x:v>32862.2643079479</x:v>
      </x:c>
      <x:c r="F8" s="326" t="n">
        <x:v>34630.99495873015</x:v>
      </x:c>
      <x:c r="G8" s="326" t="n">
        <x:v>36419.47640350576</x:v>
      </x:c>
      <x:c r="H8" s="326" t="n">
        <x:v>38161.63311464349</x:v>
      </x:c>
      <x:c r="I8" s="326" t="n">
        <x:v>39346.59487189412</x:v>
      </x:c>
      <x:c r="J8" s="326" t="n">
        <x:v>41886.54340406102</x:v>
      </x:c>
    </x:row>
    <x:row r="9">
      <x:c r="A9" s="68" t="n">
        <x:v>2030</x:v>
      </x:c>
      <x:c r="B9" s="326" t="n">
        <x:v>41055.6496044685</x:v>
      </x:c>
      <x:c r="C9" s="326" t="n">
        <x:v>44950.22266915243</x:v>
      </x:c>
      <x:c r="D9" s="326" t="n">
        <x:v>46775.5219489947</x:v>
      </x:c>
      <x:c r="E9" s="326" t="n">
        <x:v>49569.04492919944</x:v>
      </x:c>
      <x:c r="F9" s="326" t="n">
        <x:v>52602.33930865437</x:v>
      </x:c>
      <x:c r="G9" s="326" t="n">
        <x:v>55696.64189030553</x:v>
      </x:c>
      <x:c r="H9" s="326" t="n">
        <x:v>58721.73897412203</x:v>
      </x:c>
      <x:c r="I9" s="326" t="n">
        <x:v>60717.45188525826</x:v>
      </x:c>
      <x:c r="J9" s="326" t="n">
        <x:v>64949.95294658607</x:v>
      </x:c>
    </x:row>
    <x:row r="10">
      <x:c r="A10" s="68" t="n">
        <x:v>2031</x:v>
      </x:c>
      <x:c r="B10" s="326" t="n">
        <x:v>53605.07383610956</x:v>
      </x:c>
      <x:c r="C10" s="326" t="n">
        <x:v>59264.95088896585</x:v>
      </x:c>
      <x:c r="D10" s="326" t="n">
        <x:v>61999.89051587517</x:v>
      </x:c>
      <x:c r="E10" s="326" t="n">
        <x:v>66428.93284592626</x:v>
      </x:c>
      <x:c r="F10" s="326" t="n">
        <x:v>71211.91562550895</x:v>
      </x:c>
      <x:c r="G10" s="326" t="n">
        <x:v>76137.38131536932</x:v>
      </x:c>
      <x:c r="H10" s="326" t="n">
        <x:v>80987.98491073775</x:v>
      </x:c>
      <x:c r="I10" s="326" t="n">
        <x:v>84180.64653040083</x:v>
      </x:c>
      <x:c r="J10" s="326" t="n">
        <x:v>91009.46396547336</x:v>
      </x:c>
    </x:row>
    <x:row r="11">
      <x:c r="A11" s="68" t="n">
        <x:v>2032</x:v>
      </x:c>
      <x:c r="B11" s="326" t="n">
        <x:v>76508.95958769918</x:v>
      </x:c>
      <x:c r="C11" s="326" t="n">
        <x:v>84564.7683687378</x:v>
      </x:c>
      <x:c r="D11" s="326" t="n">
        <x:v>88560.9456129716</x:v>
      </x:c>
      <x:c r="E11" s="326" t="n">
        <x:v>94898.97751602538</x:v>
      </x:c>
      <x:c r="F11" s="326" t="n">
        <x:v>101885.138150654</x:v>
      </x:c>
      <x:c r="G11" s="326" t="n">
        <x:v>109225.9328526753</x:v>
      </x:c>
      <x:c r="H11" s="326" t="n">
        <x:v>116463.3296266908</x:v>
      </x:c>
      <x:c r="I11" s="326" t="n">
        <x:v>121129.5831564766</x:v>
      </x:c>
      <x:c r="J11" s="326" t="n">
        <x:v>131596.3066047285</x:v>
      </x:c>
    </x:row>
    <x:row r="12">
      <x:c r="A12" s="68" t="n">
        <x:v>2033</x:v>
      </x:c>
      <x:c r="B12" s="326" t="n">
        <x:v>97516.28654328467</x:v>
      </x:c>
      <x:c r="C12" s="326" t="n">
        <x:v>108880.8749675661</x:v>
      </x:c>
      <x:c r="D12" s="326" t="n">
        <x:v>114615.1797892084</x:v>
      </x:c>
      <x:c r="E12" s="326" t="n">
        <x:v>123561.6273557956</x:v>
      </x:c>
      <x:c r="F12" s="326" t="n">
        <x:v>133602.831997105</x:v>
      </x:c>
      <x:c r="G12" s="326" t="n">
        <x:v>144231.578992653</x:v>
      </x:c>
      <x:c r="H12" s="326" t="n">
        <x:v>154784.1740438061</x:v>
      </x:c>
      <x:c r="I12" s="326" t="n">
        <x:v>161607.5107464755</x:v>
      </x:c>
      <x:c r="J12" s="326" t="n">
        <x:v>177067.1050292345</x:v>
      </x:c>
    </x:row>
    <x:row r="13">
      <x:c r="A13" s="68" t="n">
        <x:v>2034</x:v>
      </x:c>
      <x:c r="B13" s="326" t="n">
        <x:v>117704.6290140983</x:v>
      </x:c>
      <x:c r="C13" s="326" t="n">
        <x:v>132847.641767891</x:v>
      </x:c>
      <x:c r="D13" s="326" t="n">
        <x:v>140416.3512909432</x:v>
      </x:c>
      <x:c r="E13" s="326" t="n">
        <x:v>152644.9725659139</x:v>
      </x:c>
      <x:c r="F13" s="326" t="n">
        <x:v>166434.4630827152</x:v>
      </x:c>
      <x:c r="G13" s="326" t="n">
        <x:v>181140.1320529132</x:v>
      </x:c>
      <x:c r="H13" s="326" t="n">
        <x:v>195741.2965823561</x:v>
      </x:c>
      <x:c r="I13" s="326" t="n">
        <x:v>205318.2986944618</x:v>
      </x:c>
      <x:c r="J13" s="326" t="n">
        <x:v>226171.4412546257</x:v>
      </x:c>
    </x:row>
    <x:row r="14">
      <x:c r="A14" s="68" t="n">
        <x:v>2035</x:v>
      </x:c>
      <x:c r="B14" s="326" t="n">
        <x:v>149360.1038321379</x:v>
      </x:c>
      <x:c r="C14" s="326" t="n">
        <x:v>168140.9866224453</x:v>
      </x:c>
      <x:c r="D14" s="326" t="n">
        <x:v>177859.5332631003</x:v>
      </x:c>
      <x:c r="E14" s="326" t="n">
        <x:v>193761.1190054106</x:v>
      </x:c>
      <x:c r="F14" s="326" t="n">
        <x:v>212059.0943933525</x:v>
      </x:c>
      <x:c r="G14" s="326" t="n">
        <x:v>231762.9374048506</x:v>
      </x:c>
      <x:c r="H14" s="326" t="n">
        <x:v>251409.4374113782</x:v>
      </x:c>
      <x:c r="I14" s="326" t="n">
        <x:v>264443.2662829316</x:v>
      </x:c>
      <x:c r="J14" s="326" t="n">
        <x:v>292308.6487771526</x:v>
      </x:c>
    </x:row>
    <x:row r="15">
      <x:c r="A15" s="68" t="n">
        <x:v>2036</x:v>
      </x:c>
      <x:c r="B15" s="326" t="n">
        <x:v>178494.2445624427</x:v>
      </x:c>
      <x:c r="C15" s="326" t="n">
        <x:v>202559.7033188335</x:v>
      </x:c>
      <x:c r="D15" s="326" t="n">
        <x:v>214714.7268123867</x:v>
      </x:c>
      <x:c r="E15" s="326" t="n">
        <x:v>235608.4358955848</x:v>
      </x:c>
      <x:c r="F15" s="326" t="n">
        <x:v>259378.321256968</x:v>
      </x:c>
      <x:c r="G15" s="326" t="n">
        <x:v>285230.7780297278</x:v>
      </x:c>
      <x:c r="H15" s="326" t="n">
        <x:v>311045.2213428512</x:v>
      </x:c>
      <x:c r="I15" s="326" t="n">
        <x:v>328183.9421253988</x:v>
      </x:c>
      <x:c r="J15" s="326" t="n">
        <x:v>366091.0500100009</x:v>
      </x:c>
    </x:row>
    <x:row r="16">
      <x:c r="A16" s="68" t="n">
        <x:v>2037</x:v>
      </x:c>
      <x:c r="B16" s="326" t="n">
        <x:v>206310.519176538</x:v>
      </x:c>
      <x:c r="C16" s="326" t="n">
        <x:v>236153.1691513584</x:v>
      </x:c>
      <x:c r="D16" s="326" t="n">
        <x:v>251665.5890990692</x:v>
      </x:c>
      <x:c r="E16" s="326" t="n">
        <x:v>277834.5135125326</x:v>
      </x:c>
      <x:c r="F16" s="326" t="n">
        <x:v>308324.9921840236</x:v>
      </x:c>
      <x:c r="G16" s="326" t="n">
        <x:v>341408.8208714724</x:v>
      </x:c>
      <x:c r="H16" s="326" t="n">
        <x:v>374381.5097840205</x:v>
      </x:c>
      <x:c r="I16" s="326" t="n">
        <x:v>396414.9730378843</x:v>
      </x:c>
      <x:c r="J16" s="326" t="n">
        <x:v>443173.3038812638</x:v>
      </x:c>
    </x:row>
    <x:row r="17">
      <x:c r="A17" s="68" t="n">
        <x:v>2038</x:v>
      </x:c>
      <x:c r="B17" s="326" t="n">
        <x:v>251697.7640155024</x:v>
      </x:c>
      <x:c r="C17" s="326" t="n">
        <x:v>287686.8921166853</x:v>
      </x:c>
      <x:c r="D17" s="326" t="n">
        <x:v>306550.1793376202</x:v>
      </x:c>
      <x:c r="E17" s="326" t="n">
        <x:v>338499.5910045362</x:v>
      </x:c>
      <x:c r="F17" s="326" t="n">
        <x:v>376696.4473475743</x:v>
      </x:c>
      <x:c r="G17" s="326" t="n">
        <x:v>418270.968916861</x:v>
      </x:c>
      <x:c r="H17" s="326" t="n">
        <x:v>459827.2234574836</x:v>
      </x:c>
      <x:c r="I17" s="326" t="n">
        <x:v>488188.4905113747</x:v>
      </x:c>
      <x:c r="J17" s="326" t="n">
        <x:v>546936.7784994576</x:v>
      </x:c>
    </x:row>
    <x:row r="18">
      <x:c r="A18" s="68" t="n">
        <x:v>2039</x:v>
      </x:c>
      <x:c r="B18" s="326" t="n">
        <x:v>294166.7569854602</x:v>
      </x:c>
      <x:c r="C18" s="326" t="n">
        <x:v>338202.0293575436</x:v>
      </x:c>
      <x:c r="D18" s="326" t="n">
        <x:v>361511.0126847463</x:v>
      </x:c>
      <x:c r="E18" s="326" t="n">
        <x:v>400527.9732966491</x:v>
      </x:c>
      <x:c r="F18" s="326" t="n">
        <x:v>447161.3815347313</x:v>
      </x:c>
      <x:c r="G18" s="326" t="n">
        <x:v>498377.0682180847</x:v>
      </x:c>
      <x:c r="H18" s="326" t="n">
        <x:v>550739.6947181703</x:v>
      </x:c>
      <x:c r="I18" s="326" t="n">
        <x:v>585630.5002896923</x:v>
      </x:c>
      <x:c r="J18" s="326" t="n">
        <x:v>659071.7337577974</x:v>
      </x:c>
    </x:row>
    <x:row r="19">
      <x:c r="A19" s="68" t="n">
        <x:v>2040</x:v>
      </x:c>
      <x:c r="B19" s="326" t="n">
        <x:v>336146.2142975251</x:v>
      </x:c>
      <x:c r="C19" s="326" t="n">
        <x:v>387915.772779053</x:v>
      </x:c>
      <x:c r="D19" s="326" t="n">
        <x:v>415643.811621999</x:v>
      </x:c>
      <x:c r="E19" s="326" t="n">
        <x:v>462999.6297831418</x:v>
      </x:c>
      <x:c r="F19" s="326" t="n">
        <x:v>519930.5131235973</x:v>
      </x:c>
      <x:c r="G19" s="326" t="n">
        <x:v>583483.3931341004</x:v>
      </x:c>
      <x:c r="H19" s="326" t="n">
        <x:v>648076.5917451666</x:v>
      </x:c>
      <x:c r="I19" s="326" t="n">
        <x:v>690919.5389819172</x:v>
      </x:c>
      <x:c r="J19" s="326" t="n">
        <x:v>782209.9011718726</x:v>
      </x:c>
    </x:row>
    <x:row r="20">
      <x:c r="A20" s="68" t="n">
        <x:v>2041</x:v>
      </x:c>
      <x:c r="B20" s="326" t="n">
        <x:v>376245.8681227647</x:v>
      </x:c>
      <x:c r="C20" s="326" t="n">
        <x:v>437626.2149515137</x:v>
      </x:c>
      <x:c r="D20" s="326" t="n">
        <x:v>470359.0250556507</x:v>
      </x:c>
      <x:c r="E20" s="326" t="n">
        <x:v>526785.0820795172</x:v>
      </x:c>
      <x:c r="F20" s="326" t="n">
        <x:v>595031.7101176848</x:v>
      </x:c>
      <x:c r="G20" s="326" t="n">
        <x:v>672185.5219760393</x:v>
      </x:c>
      <x:c r="H20" s="326" t="n">
        <x:v>749677.7020671421</x:v>
      </x:c>
      <x:c r="I20" s="326" t="n">
        <x:v>802330.1141036779</x:v>
      </x:c>
      <x:c r="J20" s="326" t="n">
        <x:v>917409.3983452888</x:v>
      </x:c>
    </x:row>
    <x:row r="21">
      <x:c r="A21" s="68" t="n">
        <x:v>2042</x:v>
      </x:c>
      <x:c r="B21" s="326" t="n">
        <x:v>415559.4313759137</x:v>
      </x:c>
      <x:c r="C21" s="326" t="n">
        <x:v>487413.6608515169</x:v>
      </x:c>
      <x:c r="D21" s="326" t="n">
        <x:v>526121.6166237084</x:v>
      </x:c>
      <x:c r="E21" s="326" t="n">
        <x:v>592554.8786085402</x:v>
      </x:c>
      <x:c r="F21" s="326" t="n">
        <x:v>673176.5261550844</x:v>
      </x:c>
      <x:c r="G21" s="326" t="n">
        <x:v>764079.4836685297</x:v>
      </x:c>
      <x:c r="H21" s="326" t="n">
        <x:v>857669.3001561891</x:v>
      </x:c>
      <x:c r="I21" s="326" t="n">
        <x:v>921050.8777103848</x:v>
      </x:c>
      <x:c r="J21" s="326" t="n">
        <x:v>1057883.743216022</x:v>
      </x:c>
    </x:row>
    <x:row r="22">
      <x:c r="A22" s="68" t="n">
        <x:v>2043</x:v>
      </x:c>
      <x:c r="B22" s="326" t="n">
        <x:v>458638.5987115107</x:v>
      </x:c>
      <x:c r="C22" s="326" t="n">
        <x:v>537657.0947758028</x:v>
      </x:c>
      <x:c r="D22" s="326" t="n">
        <x:v>581677.4391842663</x:v>
      </x:c>
      <x:c r="E22" s="326" t="n">
        <x:v>658477.9648881794</x:v>
      </x:c>
      <x:c r="F22" s="326" t="n">
        <x:v>753243.9598145169</x:v>
      </x:c>
      <x:c r="G22" s="326" t="n">
        <x:v>860391.3692004364</x:v>
      </x:c>
      <x:c r="H22" s="326" t="n">
        <x:v>972116.5279723103</x:v>
      </x:c>
      <x:c r="I22" s="326" t="n">
        <x:v>1046293.741221872</x:v>
      </x:c>
      <x:c r="J22" s="326" t="n">
        <x:v>1209104.7971214</x:v>
      </x:c>
    </x:row>
    <x:row r="23">
      <x:c r="A23" s="68" t="n">
        <x:v>2044</x:v>
      </x:c>
      <x:c r="B23" s="326" t="n">
        <x:v>497056.9916730945</x:v>
      </x:c>
      <x:c r="C23" s="326" t="n">
        <x:v>587939.9082150167</x:v>
      </x:c>
      <x:c r="D23" s="326" t="n">
        <x:v>635066.1338495479</x:v>
      </x:c>
      <x:c r="E23" s="326" t="n">
        <x:v>718503.4223347979</x:v>
      </x:c>
      <x:c r="F23" s="326" t="n">
        <x:v>827699.6740185363</x:v>
      </x:c>
      <x:c r="G23" s="326" t="n">
        <x:v>951472.5116661268</x:v>
      </x:c>
      <x:c r="H23" s="326" t="n">
        <x:v>1080404.365121527</x:v>
      </x:c>
      <x:c r="I23" s="326" t="n">
        <x:v>1167518.833729209</x:v>
      </x:c>
      <x:c r="J23" s="326" t="n">
        <x:v>1358097.891030474</x:v>
      </x:c>
    </x:row>
    <x:row r="24">
      <x:c r="A24" s="68" t="n">
        <x:v>2045</x:v>
      </x:c>
      <x:c r="B24" s="326" t="n">
        <x:v>534273.3855409777</x:v>
      </x:c>
      <x:c r="C24" s="326" t="n">
        <x:v>635791.5183536576</x:v>
      </x:c>
      <x:c r="D24" s="326" t="n">
        <x:v>685893.2435182215</x:v>
      </x:c>
      <x:c r="E24" s="326" t="n">
        <x:v>778891.7028716478</x:v>
      </x:c>
      <x:c r="F24" s="326" t="n">
        <x:v>902461.5902438597</x:v>
      </x:c>
      <x:c r="G24" s="326" t="n">
        <x:v>1042967.657151912</x:v>
      </x:c>
      <x:c r="H24" s="326" t="n">
        <x:v>1192089.095789551</x:v>
      </x:c>
      <x:c r="I24" s="326" t="n">
        <x:v>1293245.952909403</x:v>
      </x:c>
      <x:c r="J24" s="326" t="n">
        <x:v>1510218.194075552</x:v>
      </x:c>
    </x:row>
    <x:row r="25">
      <x:c r="A25" s="68" t="n">
        <x:v>2046</x:v>
      </x:c>
      <x:c r="B25" s="326" t="n">
        <x:v>573344.1382075399</x:v>
      </x:c>
      <x:c r="C25" s="326" t="n">
        <x:v>683704.9034220095</x:v>
      </x:c>
      <x:c r="D25" s="326" t="n">
        <x:v>738564.1135629899</x:v>
      </x:c>
      <x:c r="E25" s="326" t="n">
        <x:v>840623.7537574116</x:v>
      </x:c>
      <x:c r="F25" s="326" t="n">
        <x:v>979172.6122728328</x:v>
      </x:c>
      <x:c r="G25" s="326" t="n">
        <x:v>1137235.419750523</x:v>
      </x:c>
      <x:c r="H25" s="326" t="n">
        <x:v>1308018.130603471</x:v>
      </x:c>
      <x:c r="I25" s="326" t="n">
        <x:v>1421811.124326668</x:v>
      </x:c>
      <x:c r="J25" s="326" t="n">
        <x:v>1677294.250644502</x:v>
      </x:c>
    </x:row>
    <x:row r="26">
      <x:c r="A26" s="68" t="n">
        <x:v>2047</x:v>
      </x:c>
      <x:c r="B26" s="326" t="n">
        <x:v>613870.9411548413</x:v>
      </x:c>
      <x:c r="C26" s="326" t="n">
        <x:v>731480.0072101555</x:v>
      </x:c>
      <x:c r="D26" s="326" t="n">
        <x:v>791073.4044364153</x:v>
      </x:c>
      <x:c r="E26" s="326" t="n">
        <x:v>903696.4217034527</x:v>
      </x:c>
      <x:c r="F26" s="326" t="n">
        <x:v>1057200.248840803</x:v>
      </x:c>
      <x:c r="G26" s="326" t="n">
        <x:v>1235359.410191193</x:v>
      </x:c>
      <x:c r="H26" s="326" t="n">
        <x:v>1426459.021085405</x:v>
      </x:c>
      <x:c r="I26" s="326" t="n">
        <x:v>1555009.576467462</x:v>
      </x:c>
      <x:c r="J26" s="326" t="n">
        <x:v>1851493.541171734</x:v>
      </x:c>
    </x:row>
    <x:row r="27">
      <x:c r="A27" s="68" t="n">
        <x:v>2048</x:v>
      </x:c>
      <x:c r="B27" s="326" t="n">
        <x:v>650490.1553792646</x:v>
      </x:c>
      <x:c r="C27" s="326" t="n">
        <x:v>779580.4505786676</x:v>
      </x:c>
      <x:c r="D27" s="326" t="n">
        <x:v>843912.7841510973</x:v>
      </x:c>
      <x:c r="E27" s="326" t="n">
        <x:v>966940.521067796</x:v>
      </x:c>
      <x:c r="F27" s="326" t="n">
        <x:v>1135332.363318171</x:v>
      </x:c>
      <x:c r="G27" s="326" t="n">
        <x:v>1336174.999320532</x:v>
      </x:c>
      <x:c r="H27" s="326" t="n">
        <x:v>1550325.367155473</x:v>
      </x:c>
      <x:c r="I27" s="326" t="n">
        <x:v>1697587.964110371</x:v>
      </x:c>
      <x:c r="J27" s="326" t="n">
        <x:v>2028027.168556303</x:v>
      </x:c>
    </x:row>
    <x:row r="28">
      <x:c r="A28" s="68" t="n">
        <x:v>2049</x:v>
      </x:c>
      <x:c r="B28" s="326" t="n">
        <x:v>687796.5607375486</x:v>
      </x:c>
      <x:c r="C28" s="326" t="n">
        <x:v>825561.200886718</x:v>
      </x:c>
      <x:c r="D28" s="326" t="n">
        <x:v>896614.3776694133</x:v>
      </x:c>
      <x:c r="E28" s="326" t="n">
        <x:v>1030851.634750889</x:v>
      </x:c>
      <x:c r="F28" s="326" t="n">
        <x:v>1216517.948836232</x:v>
      </x:c>
      <x:c r="G28" s="326" t="n">
        <x:v>1439940.541858865</x:v>
      </x:c>
      <x:c r="H28" s="326" t="n">
        <x:v>1678757.243806077</x:v>
      </x:c>
      <x:c r="I28" s="326" t="n">
        <x:v>1848765.595899784</x:v>
      </x:c>
      <x:c r="J28" s="326" t="n">
        <x:v>2220861.408453319</x:v>
      </x:c>
    </x:row>
    <x:row r="29">
      <x:c r="A29" s="68" t="n">
        <x:v>2050</x:v>
      </x:c>
      <x:c r="B29" s="326" t="n">
        <x:v>725529.7349364766</x:v>
      </x:c>
      <x:c r="C29" s="326" t="n">
        <x:v>873620.1996035412</x:v>
      </x:c>
      <x:c r="D29" s="326" t="n">
        <x:v>950051.6363773728</x:v>
      </x:c>
      <x:c r="E29" s="326" t="n">
        <x:v>1095546.13498932</x:v>
      </x:c>
      <x:c r="F29" s="326" t="n">
        <x:v>1299369.149447127</x:v>
      </x:c>
      <x:c r="G29" s="326" t="n">
        <x:v>1544123.758224908</x:v>
      </x:c>
      <x:c r="H29" s="326" t="n">
        <x:v>1808922.993438145</x:v>
      </x:c>
      <x:c r="I29" s="326" t="n">
        <x:v>1994312.181709123</x:v>
      </x:c>
      <x:c r="J29" s="326" t="n">
        <x:v>2415313.217215464</x:v>
      </x:c>
    </x:row>
    <x:row r="30">
      <x:c r="A30" s="68" t="n">
        <x:v>2051</x:v>
      </x:c>
      <x:c r="B30" s="326" t="n">
        <x:v>759663.8093862903</x:v>
      </x:c>
      <x:c r="C30" s="326" t="n">
        <x:v>923609.8507833109</x:v>
      </x:c>
      <x:c r="D30" s="326" t="n">
        <x:v>1003066.393301348</x:v>
      </x:c>
      <x:c r="E30" s="326" t="n">
        <x:v>1161193.963243338</x:v>
      </x:c>
      <x:c r="F30" s="326" t="n">
        <x:v>1383258.591060737</x:v>
      </x:c>
      <x:c r="G30" s="326" t="n">
        <x:v>1653632.758930617</x:v>
      </x:c>
      <x:c r="H30" s="326" t="n">
        <x:v>1944862.674760788</x:v>
      </x:c>
      <x:c r="I30" s="326" t="n">
        <x:v>2151346.419711099</x:v>
      </x:c>
      <x:c r="J30" s="326" t="n">
        <x:v>2607584.050888269</x:v>
      </x:c>
    </x:row>
    <x:row r="31">
      <x:c r="A31" s="68" t="n">
        <x:v>2052</x:v>
      </x:c>
      <x:c r="B31" s="326" t="n">
        <x:v>796613.550148799</x:v>
      </x:c>
      <x:c r="C31" s="326" t="n">
        <x:v>969478.7430722238</x:v>
      </x:c>
      <x:c r="D31" s="326" t="n">
        <x:v>1055399.376861809</x:v>
      </x:c>
      <x:c r="E31" s="326" t="n">
        <x:v>1226883.963578237</x:v>
      </x:c>
      <x:c r="F31" s="326" t="n">
        <x:v>1468521.637627376</x:v>
      </x:c>
      <x:c r="G31" s="326" t="n">
        <x:v>1764311.968721543</x:v>
      </x:c>
      <x:c r="H31" s="326" t="n">
        <x:v>2088668.451786481</x:v>
      </x:c>
      <x:c r="I31" s="326" t="n">
        <x:v>2316941.564798256</x:v>
      </x:c>
      <x:c r="J31" s="326" t="n">
        <x:v>2818586.687442103</x:v>
      </x:c>
    </x:row>
    <x:row r="32">
      <x:c r="A32" s="68" t="n">
        <x:v>2053</x:v>
      </x:c>
      <x:c r="B32" s="326" t="n">
        <x:v>831740.9406036511</x:v>
      </x:c>
      <x:c r="C32" s="326" t="n">
        <x:v>1017502.422600461</x:v>
      </x:c>
      <x:c r="D32" s="326" t="n">
        <x:v>1107613.791099196</x:v>
      </x:c>
      <x:c r="E32" s="326" t="n">
        <x:v>1291599.756328474</x:v>
      </x:c>
      <x:c r="F32" s="326" t="n">
        <x:v>1554616.799488647</x:v>
      </x:c>
      <x:c r="G32" s="326" t="n">
        <x:v>1878450.721396135</x:v>
      </x:c>
      <x:c r="H32" s="326" t="n">
        <x:v>2231787.774508158</x:v>
      </x:c>
      <x:c r="I32" s="326" t="n">
        <x:v>2487130.177650562</x:v>
      </x:c>
      <x:c r="J32" s="326" t="n">
        <x:v>3056909.295235291</x:v>
      </x:c>
    </x:row>
    <x:row r="33">
      <x:c r="A33" s="68" t="n">
        <x:v>2054</x:v>
      </x:c>
      <x:c r="B33" s="326" t="n">
        <x:v>865860.4268343193</x:v>
      </x:c>
      <x:c r="C33" s="326" t="n">
        <x:v>1061792.347359612</x:v>
      </x:c>
      <x:c r="D33" s="326" t="n">
        <x:v>1159995.314470619</x:v>
      </x:c>
      <x:c r="E33" s="326" t="n">
        <x:v>1358733.187618325</x:v>
      </x:c>
      <x:c r="F33" s="326" t="n">
        <x:v>1644060.878731355</x:v>
      </x:c>
      <x:c r="G33" s="326" t="n">
        <x:v>1993400.824267035</x:v>
      </x:c>
      <x:c r="H33" s="326" t="n">
        <x:v>2386935.481515958</x:v>
      </x:c>
      <x:c r="I33" s="326" t="n">
        <x:v>2661090.594698101</x:v>
      </x:c>
      <x:c r="J33" s="326" t="n">
        <x:v>3291980.628182347</x:v>
      </x:c>
    </x:row>
    <x:row r="34">
      <x:c r="A34" s="68" t="n">
        <x:v>2055</x:v>
      </x:c>
      <x:c r="B34" s="326" t="n">
        <x:v>902269.8843373299</x:v>
      </x:c>
      <x:c r="C34" s="326" t="n">
        <x:v>1110250.052012558</x:v>
      </x:c>
      <x:c r="D34" s="326" t="n">
        <x:v>1214060.809336622</x:v>
      </x:c>
      <x:c r="E34" s="326" t="n">
        <x:v>1427347.065953671</x:v>
      </x:c>
      <x:c r="F34" s="326" t="n">
        <x:v>1730638.351617869</x:v>
      </x:c>
      <x:c r="G34" s="326" t="n">
        <x:v>2113512.105867974</x:v>
      </x:c>
      <x:c r="H34" s="326" t="n">
        <x:v>2539114.915508699</x:v>
      </x:c>
      <x:c r="I34" s="326" t="n">
        <x:v>2843858.75481938</x:v>
      </x:c>
      <x:c r="J34" s="326" t="n">
        <x:v>3536079.005739847</x:v>
      </x:c>
    </x:row>
    <x:row r="35">
      <x:c r="A35" s="68" t="n">
        <x:v>2056</x:v>
      </x:c>
      <x:c r="B35" s="326" t="n">
        <x:v>934469.0846278915</x:v>
      </x:c>
      <x:c r="C35" s="326" t="n">
        <x:v>1155497.255044098</x:v>
      </x:c>
      <x:c r="D35" s="326" t="n">
        <x:v>1268943.81207111</x:v>
      </x:c>
      <x:c r="E35" s="326" t="n">
        <x:v>1496008.575180748</x:v>
      </x:c>
      <x:c r="F35" s="326" t="n">
        <x:v>1823189.170995349</x:v>
      </x:c>
      <x:c r="G35" s="326" t="n">
        <x:v>2234793.93460819</x:v>
      </x:c>
      <x:c r="H35" s="326" t="n">
        <x:v>2695543.001637333</x:v>
      </x:c>
      <x:c r="I35" s="326" t="n">
        <x:v>3024089.09976287</x:v>
      </x:c>
      <x:c r="J35" s="326" t="n">
        <x:v>3785875.358638774</x:v>
      </x:c>
    </x:row>
    <x:row r="36">
      <x:c r="A36" s="68" t="n">
        <x:v>2057</x:v>
      </x:c>
      <x:c r="B36" s="326" t="n">
        <x:v>975125.3331324714</x:v>
      </x:c>
      <x:c r="C36" s="326" t="n">
        <x:v>1204514.696185679</x:v>
      </x:c>
      <x:c r="D36" s="326" t="n">
        <x:v>1323195.450273826</x:v>
      </x:c>
      <x:c r="E36" s="326" t="n">
        <x:v>1566144.247544668</x:v>
      </x:c>
      <x:c r="F36" s="326" t="n">
        <x:v>1913552.693626523</x:v>
      </x:c>
      <x:c r="G36" s="326" t="n">
        <x:v>2357643.909295377</x:v>
      </x:c>
      <x:c r="H36" s="326" t="n">
        <x:v>2859346.104186725</x:v>
      </x:c>
      <x:c r="I36" s="326" t="n">
        <x:v>3216526.327962063</x:v>
      </x:c>
      <x:c r="J36" s="326" t="n">
        <x:v>4055296.535787822</x:v>
      </x:c>
    </x:row>
    <x:row r="37">
      <x:c r="A37" s="68" t="n">
        <x:v>2058</x:v>
      </x:c>
      <x:c r="B37" s="326" t="n">
        <x:v>1015348.609142002</x:v>
      </x:c>
      <x:c r="C37" s="326" t="n">
        <x:v>1253429.735001987</x:v>
      </x:c>
      <x:c r="D37" s="326" t="n">
        <x:v>1375882.150309719</x:v>
      </x:c>
      <x:c r="E37" s="326" t="n">
        <x:v>1635046.663442017</x:v>
      </x:c>
      <x:c r="F37" s="326" t="n">
        <x:v>2007382.300712976</x:v>
      </x:c>
      <x:c r="G37" s="326" t="n">
        <x:v>2489468.09909742</x:v>
      </x:c>
      <x:c r="H37" s="326" t="n">
        <x:v>3025603.463828249</x:v>
      </x:c>
      <x:c r="I37" s="326" t="n">
        <x:v>3412448.504654338</x:v>
      </x:c>
      <x:c r="J37" s="326" t="n">
        <x:v>4314437.540428855</x:v>
      </x:c>
    </x:row>
    <x:row r="38">
      <x:c r="A38" s="68" t="n">
        <x:v>2059</x:v>
      </x:c>
      <x:c r="B38" s="326" t="n">
        <x:v>1052890.504790317</x:v>
      </x:c>
      <x:c r="C38" s="326" t="n">
        <x:v>1300022.05293863</x:v>
      </x:c>
      <x:c r="D38" s="326" t="n">
        <x:v>1431925.843873278</x:v>
      </x:c>
      <x:c r="E38" s="326" t="n">
        <x:v>1704569.072212535</x:v>
      </x:c>
      <x:c r="F38" s="326" t="n">
        <x:v>2105949.879664397</x:v>
      </x:c>
      <x:c r="G38" s="326" t="n">
        <x:v>2614903.324357673</x:v>
      </x:c>
      <x:c r="H38" s="326" t="n">
        <x:v>3194749.387648721</x:v>
      </x:c>
      <x:c r="I38" s="326" t="n">
        <x:v>3612228.271902816</x:v>
      </x:c>
      <x:c r="J38" s="326" t="n">
        <x:v>4603859.852091091</x:v>
      </x:c>
    </x:row>
    <x:row r="39">
      <x:c r="A39" s="68" t="n">
        <x:v>2060</x:v>
      </x:c>
      <x:c r="B39" s="326" t="n">
        <x:v>1091464.611384351</x:v>
      </x:c>
      <x:c r="C39" s="326" t="n">
        <x:v>1346689.638571126</x:v>
      </x:c>
      <x:c r="D39" s="326" t="n">
        <x:v>1485584.681075844</x:v>
      </x:c>
      <x:c r="E39" s="326" t="n">
        <x:v>1774638.329245619</x:v>
      </x:c>
      <x:c r="F39" s="326" t="n">
        <x:v>2200760.923244952</x:v>
      </x:c>
      <x:c r="G39" s="326" t="n">
        <x:v>2747887.380619742</x:v>
      </x:c>
      <x:c r="H39" s="326" t="n">
        <x:v>3371465.746118733</x:v>
      </x:c>
      <x:c r="I39" s="326" t="n">
        <x:v>3821298.226817436</x:v>
      </x:c>
      <x:c r="J39" s="326" t="n">
        <x:v>4894816.235255892</x:v>
      </x:c>
    </x:row>
    <x:row r="40">
      <x:c r="A40" s="68" t="n">
        <x:v>2061</x:v>
      </x:c>
      <x:c r="B40" s="326" t="n">
        <x:v>1127760.923529806</x:v>
      </x:c>
      <x:c r="C40" s="326" t="n">
        <x:v>1397140.21385364</x:v>
      </x:c>
      <x:c r="D40" s="326" t="n">
        <x:v>1542314.307190398</x:v>
      </x:c>
      <x:c r="E40" s="326" t="n">
        <x:v>1846961.487737019</x:v>
      </x:c>
      <x:c r="F40" s="326" t="n">
        <x:v>2297429.884457296</x:v>
      </x:c>
      <x:c r="G40" s="326" t="n">
        <x:v>2879202.720979149</x:v>
      </x:c>
      <x:c r="H40" s="326" t="n">
        <x:v>3554421.687262097</x:v>
      </x:c>
      <x:c r="I40" s="326" t="n">
        <x:v>4039514.908805235</x:v>
      </x:c>
      <x:c r="J40" s="326" t="n">
        <x:v>5184335.411513948</x:v>
      </x:c>
    </x:row>
    <x:row r="41">
      <x:c r="A41" s="68" t="n">
        <x:v>2062</x:v>
      </x:c>
      <x:c r="B41" s="326" t="n">
        <x:v>1156729.755675054</x:v>
      </x:c>
      <x:c r="C41" s="326" t="n">
        <x:v>1447547.795825695</x:v>
      </x:c>
      <x:c r="D41" s="326" t="n">
        <x:v>1596242.240313455</x:v>
      </x:c>
      <x:c r="E41" s="326" t="n">
        <x:v>1920109.582772057</x:v>
      </x:c>
      <x:c r="F41" s="326" t="n">
        <x:v>2395874.476262122</x:v>
      </x:c>
      <x:c r="G41" s="326" t="n">
        <x:v>3021704.036241146</x:v>
      </x:c>
      <x:c r="H41" s="326" t="n">
        <x:v>3739694.994128034</x:v>
      </x:c>
      <x:c r="I41" s="326" t="n">
        <x:v>4263478.411555374</x:v>
      </x:c>
      <x:c r="J41" s="326" t="n">
        <x:v>5497879.023477423</x:v>
      </x:c>
    </x:row>
    <x:row r="42">
      <x:c r="A42" s="68" t="n">
        <x:v>2063</x:v>
      </x:c>
      <x:c r="B42" s="326" t="n">
        <x:v>1200146.88027322</x:v>
      </x:c>
      <x:c r="C42" s="326" t="n">
        <x:v>1495478.097245761</x:v>
      </x:c>
      <x:c r="D42" s="326" t="n">
        <x:v>1655052.348549349</x:v>
      </x:c>
      <x:c r="E42" s="326" t="n">
        <x:v>1993162.182643217</x:v>
      </x:c>
      <x:c r="F42" s="326" t="n">
        <x:v>2503311.443911879</x:v>
      </x:c>
      <x:c r="G42" s="326" t="n">
        <x:v>3156310.429501946</x:v>
      </x:c>
      <x:c r="H42" s="326" t="n">
        <x:v>3931375.432707994</x:v>
      </x:c>
      <x:c r="I42" s="326" t="n">
        <x:v>4485090.763612404</x:v>
      </x:c>
      <x:c r="J42" s="326" t="n">
        <x:v>5818921.033709728</x:v>
      </x:c>
    </x:row>
    <x:row r="43">
      <x:c r="A43" s="68" t="n">
        <x:v>2064</x:v>
      </x:c>
      <x:c r="B43" s="326" t="n">
        <x:v>1234476.154175393</x:v>
      </x:c>
      <x:c r="C43" s="326" t="n">
        <x:v>1540754.050260311</x:v>
      </x:c>
      <x:c r="D43" s="326" t="n">
        <x:v>1710775.347897967</x:v>
      </x:c>
      <x:c r="E43" s="326" t="n">
        <x:v>2071017.250843093</x:v>
      </x:c>
      <x:c r="F43" s="326" t="n">
        <x:v>2605323.184343147</x:v>
      </x:c>
      <x:c r="G43" s="326" t="n">
        <x:v>3301488.402451769</x:v>
      </x:c>
      <x:c r="H43" s="326" t="n">
        <x:v>4128792.523498129</x:v>
      </x:c>
      <x:c r="I43" s="326" t="n">
        <x:v>4727492.230630592</x:v>
      </x:c>
      <x:c r="J43" s="326" t="n">
        <x:v>6149615.459055061</x:v>
      </x:c>
    </x:row>
    <x:row r="44">
      <x:c r="A44" s="69" t="n">
        <x:v>2065</x:v>
      </x:c>
      <x:c r="B44" s="327" t="n">
        <x:v>1275596.383845889</x:v>
      </x:c>
      <x:c r="C44" s="327" t="n">
        <x:v>1588999.052837526</x:v>
      </x:c>
      <x:c r="D44" s="327" t="n">
        <x:v>1767718.499611431</x:v>
      </x:c>
      <x:c r="E44" s="327" t="n">
        <x:v>2146476.684809031</x:v>
      </x:c>
      <x:c r="F44" s="327" t="n">
        <x:v>2713299.637332425</x:v>
      </x:c>
      <x:c r="G44" s="327" t="n">
        <x:v>3453153.421649845</x:v>
      </x:c>
      <x:c r="H44" s="327" t="n">
        <x:v>4335185.027810335</x:v>
      </x:c>
      <x:c r="I44" s="327" t="n">
        <x:v>4978473.509562775</x:v>
      </x:c>
      <x:c r="J44" s="327" t="n">
        <x:v>6480246.688461322</x:v>
      </x:c>
    </x:row>
  </x:sheetData>
  <x:mergeCells>
    <x:mergeCell ref="A2:H2"/>
    <x:mergeCell ref="A1:H1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0" customWidth="1"/>
    <x:col min="2" max="2" width="20" customWidth="1"/>
    <x:col min="3" max="3" width="20" customWidth="1"/>
    <x:col min="4" max="4" width="20" customWidth="1"/>
    <x:col min="5" max="5" width="20" customWidth="1"/>
    <x:col min="6" max="6" width="20" customWidth="1"/>
  </x:cols>
  <x:sheetData>
    <x:row r="1" ht="34" customHeight="1">
      <x:c r="A1" s="52" t="inlineStr">
        <x:is>
          <x:t xml:space="preserve">Sensibilidad de dos vías</x:t>
        </x:is>
      </x:c>
    </x:row>
    <x:row r="2" ht="30" customHeight="1">
      <x:c r="A2" s="55" t="inlineStr">
        <x:is>
          <x:t xml:space="preserve">Patrimonio terminal al variar retorno real de renta variable y crecimiento real de aportaciones; el resto permanece constante.</x:t>
        </x:is>
      </x:c>
    </x:row>
    <x:row r="3"/>
    <x:row r="4">
      <x:c r="A4" s="64" t="inlineStr">
        <x:is>
          <x:t xml:space="preserve">Crecimiento real aportaciones</x:t>
        </x:is>
      </x:c>
      <x:c r="B4" s="65" t="inlineStr">
        <x:is>
          <x:t xml:space="preserve">RV 3.0%</x:t>
        </x:is>
      </x:c>
      <x:c r="C4" s="65" t="inlineStr">
        <x:is>
          <x:t xml:space="preserve">RV 4.0%</x:t>
        </x:is>
      </x:c>
      <x:c r="D4" s="65" t="inlineStr">
        <x:is>
          <x:t xml:space="preserve">RV 5.0%</x:t>
        </x:is>
      </x:c>
      <x:c r="E4" s="65" t="inlineStr">
        <x:is>
          <x:t xml:space="preserve">RV 6.0%</x:t>
        </x:is>
      </x:c>
      <x:c r="F4" s="66" t="inlineStr">
        <x:is>
          <x:t xml:space="preserve">RV 7.0%</x:t>
        </x:is>
      </x:c>
    </x:row>
    <x:row r="5">
      <x:c r="A5" s="331" t="n">
        <x:v>-0.005</x:v>
      </x:c>
      <x:c r="B5" s="325" t="n">
        <x:v>1884577.516728356</x:v>
      </x:c>
      <x:c r="C5" s="325" t="n">
        <x:v>2120478.931119862</x:v>
      </x:c>
      <x:c r="D5" s="325" t="n">
        <x:v>2394246.030907196</x:v>
      </x:c>
      <x:c r="E5" s="325" t="n">
        <x:v>2712514.989047855</x:v>
      </x:c>
      <x:c r="F5" s="325" t="n">
        <x:v>3083129.579088092</x:v>
      </x:c>
    </x:row>
    <x:row r="6">
      <x:c r="A6" s="332" t="n">
        <x:v>0</x:v>
      </x:c>
      <x:c r="B6" s="326" t="n">
        <x:v>2100281.444174082</x:v>
      </x:c>
      <x:c r="C6" s="326" t="n">
        <x:v>2355286.096322552</x:v>
      </x:c>
      <x:c r="D6" s="326" t="n">
        <x:v>2650566.249583022</x:v>
      </x:c>
      <x:c r="E6" s="326" t="n">
        <x:v>2993106.058628572</x:v>
      </x:c>
      <x:c r="F6" s="326" t="n">
        <x:v>3391150.747904263</x:v>
      </x:c>
    </x:row>
    <x:row r="7">
      <x:c r="A7" s="332" t="n">
        <x:v>0.008</x:v>
      </x:c>
      <x:c r="B7" s="326" t="n">
        <x:v>2508255.896190486</x:v>
      </x:c>
      <x:c r="C7" s="326" t="n">
        <x:v>2797904.273975046</x:v>
      </x:c>
      <x:c r="D7" s="326" t="n">
        <x:v>3132093.305616128</x:v>
      </x:c>
      <x:c r="E7" s="326" t="n">
        <x:v>3518413.219343102</x:v>
      </x:c>
      <x:c r="F7" s="326" t="n">
        <x:v>3965807.358176237</x:v>
      </x:c>
    </x:row>
    <x:row r="8">
      <x:c r="A8" s="332" t="n">
        <x:v>0.015</x:v>
      </x:c>
      <x:c r="B8" s="326" t="n">
        <x:v>2941595.484854454</x:v>
      </x:c>
      <x:c r="C8" s="326" t="n">
        <x:v>3266314.405133084</x:v>
      </x:c>
      <x:c r="D8" s="326" t="n">
        <x:v>3639771.155625997</x:v>
      </x:c>
      <x:c r="E8" s="326" t="n">
        <x:v>4070141.280513965</x:v>
      </x:c>
      <x:c r="F8" s="326" t="n">
        <x:v>4567041.126969046</x:v>
      </x:c>
    </x:row>
    <x:row r="9">
      <x:c r="A9" s="333" t="n">
        <x:v>0.02</x:v>
      </x:c>
      <x:c r="B9" s="327" t="n">
        <x:v>3303580.076342676</x:v>
      </x:c>
      <x:c r="C9" s="327" t="n">
        <x:v>3656490.061659765</x:v>
      </x:c>
      <x:c r="D9" s="327" t="n">
        <x:v>4061435.03878302</x:v>
      </x:c>
      <x:c r="E9" s="327" t="n">
        <x:v>4527043.371614937</x:v>
      </x:c>
      <x:c r="F9" s="327" t="n">
        <x:v>5063451.316286931</x:v>
      </x:c>
    </x:row>
    <x:row r="10"/>
    <x:row r="11"/>
    <x:row r="12">
      <x:c r="A12" s="284" t="inlineStr">
        <x:is>
          <x:t xml:space="preserve">La matriz no asigna probabilidades y no capta interacciones con participación estatal, costes, distribuciones o respuesta macroeconómica.</x:t>
        </x:is>
      </x:c>
      <x:c r="B12" s="69" t="n"/>
      <x:c r="C12" s="69" t="n"/>
      <x:c r="D12" s="69" t="n"/>
      <x:c r="E12" s="69" t="n"/>
      <x:c r="F12" s="285" t="n"/>
    </x:row>
    <x:row r="13">
      <x:c r="A13" s="286" t="n"/>
      <x:c r="F13" s="287" t="n"/>
    </x:row>
    <x:row r="14">
      <x:c r="A14" s="288" t="n"/>
      <x:c r="B14" s="67" t="n"/>
      <x:c r="C14" s="67" t="n"/>
      <x:c r="D14" s="67" t="n"/>
      <x:c r="E14" s="67" t="n"/>
      <x:c r="F14" s="289" t="n"/>
    </x:row>
  </x:sheetData>
  <x:mergeCells>
    <x:mergeCell ref="A2:H2"/>
    <x:mergeCell ref="A12:F14"/>
    <x:mergeCell ref="A1:H1"/>
  </x:mergeCells>
  <x:conditionalFormatting sqref="B5:F9">
    <x:cfRule type="colorScale" priority="1">
      <x:colorScale>
        <x:cfvo type="min"/>
        <x:cfvo type="percentile" val="50"/>
        <x:cfvo type="max"/>
        <x:color rgb="FFFCE8E6"/>
        <x:color rgb="FFF6E8C8"/>
        <x:color rgb="FFE2F0D9"/>
      </x:colorScale>
    </x:cfRule>
  </x:conditionalFormatting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48" customWidth="1"/>
    <x:col min="2" max="2" width="24" customWidth="1"/>
    <x:col min="3" max="3" width="22" customWidth="1"/>
    <x:col min="4" max="4" width="28" customWidth="1"/>
  </x:cols>
  <x:sheetData>
    <x:row r="1" ht="34" customHeight="1">
      <x:c r="A1" s="52" t="inlineStr">
        <x:is>
          <x:t xml:space="preserve">Resultados principales</x:t>
        </x:is>
      </x:c>
    </x:row>
    <x:row r="2" ht="30" customHeight="1">
      <x:c r="A2" s="55" t="inlineStr">
        <x:is>
          <x:t xml:space="preserve">Separación explícita entre trayectoria determinista y distribución probabilística condicionada.</x:t>
        </x:is>
      </x:c>
    </x:row>
    <x:row r="3"/>
    <x:row r="4">
      <x:c r="A4" s="64" t="inlineStr">
        <x:is>
          <x:t xml:space="preserve">Métrica</x:t>
        </x:is>
      </x:c>
      <x:c r="B4" s="65" t="inlineStr">
        <x:is>
          <x:t xml:space="preserve">Valor</x:t>
        </x:is>
      </x:c>
      <x:c r="C4" s="65" t="inlineStr">
        <x:is>
          <x:t xml:space="preserve">Unidad</x:t>
        </x:is>
      </x:c>
      <x:c r="D4" s="66" t="inlineStr">
        <x:is>
          <x:t xml:space="preserve">Origen</x:t>
        </x:is>
      </x:c>
    </x:row>
    <x:row r="5">
      <x:c r="A5" s="67" t="inlineStr">
        <x:is>
          <x:t xml:space="preserve">Patrimonio final central</x:t>
        </x:is>
      </x:c>
      <x:c r="B5" s="325" t="n">
        <x:f>'Modelo central'!P44</x:f>
        <x:v>3132093.3056161283</x:v>
      </x:c>
      <x:c r="C5" s="67" t="inlineStr">
        <x:is>
          <x:t xml:space="preserve">M€ reales</x:t>
        </x:is>
      </x:c>
      <x:c r="D5" s="67" t="inlineStr">
        <x:is>
          <x:t xml:space="preserve">Excel (fórmula)</x:t>
        </x:is>
      </x:c>
    </x:row>
    <x:row r="6">
      <x:c r="A6" s="68" t="inlineStr">
        <x:is>
          <x:t xml:space="preserve">Aportaciones acumuladas</x:t>
        </x:is>
      </x:c>
      <x:c r="B6" s="326" t="n">
        <x:f>'Modelo central'!Q44</x:f>
        <x:v>2170886.5913590384</x:v>
      </x:c>
      <x:c r="C6" s="68" t="inlineStr">
        <x:is>
          <x:t xml:space="preserve">M€ reales</x:t>
        </x:is>
      </x:c>
      <x:c r="D6" s="68" t="inlineStr">
        <x:is>
          <x:t xml:space="preserve">Excel (fórmula)</x:t>
        </x:is>
      </x:c>
    </x:row>
    <x:row r="7">
      <x:c r="A7" s="68" t="inlineStr">
        <x:is>
          <x:t xml:space="preserve">Distribuciones acumuladas</x:t>
        </x:is>
      </x:c>
      <x:c r="B7" s="326" t="n">
        <x:f>'Modelo central'!R44</x:f>
        <x:v>527731.7889429816</x:v>
      </x:c>
      <x:c r="C7" s="68" t="inlineStr">
        <x:is>
          <x:t xml:space="preserve">M€ reales</x:t>
        </x:is>
      </x:c>
      <x:c r="D7" s="68" t="inlineStr">
        <x:is>
          <x:t xml:space="preserve">Excel (fórmula)</x:t>
        </x:is>
      </x:c>
    </x:row>
    <x:row r="8">
      <x:c r="A8" s="68" t="inlineStr">
        <x:is>
          <x:t xml:space="preserve">Mediana patrimonio final</x:t>
        </x:is>
      </x:c>
      <x:c r="B8" s="326" t="n">
        <x:f>'Monte Carlo'!B7</x:f>
        <x:v>2713299.637332425</x:v>
      </x:c>
      <x:c r="C8" s="68" t="inlineStr">
        <x:is>
          <x:t xml:space="preserve">M€ reales</x:t>
        </x:is>
      </x:c>
      <x:c r="D8" s="68" t="str">
        <x:v>Python Monte Carlo v5.2.0</x:v>
      </x:c>
    </x:row>
    <x:row r="9">
      <x:c r="A9" s="68" t="inlineStr">
        <x:is>
          <x:t xml:space="preserve">P5 patrimonio final</x:t>
        </x:is>
      </x:c>
      <x:c r="B9" s="326" t="n">
        <x:f>'Monte Carlo'!B8</x:f>
        <x:v>1588999.052837526</x:v>
      </x:c>
      <x:c r="C9" s="68" t="inlineStr">
        <x:is>
          <x:t xml:space="preserve">M€ reales</x:t>
        </x:is>
      </x:c>
      <x:c r="D9" s="68" t="str">
        <x:v>Python Monte Carlo v5.2.0</x:v>
      </x:c>
    </x:row>
    <x:row r="10">
      <x:c r="A10" s="68" t="inlineStr">
        <x:is>
          <x:t xml:space="preserve">P95 patrimonio final</x:t>
        </x:is>
      </x:c>
      <x:c r="B10" s="326" t="n">
        <x:f>'Monte Carlo'!B9</x:f>
        <x:v>4978473.509562775</x:v>
      </x:c>
      <x:c r="C10" s="68" t="inlineStr">
        <x:is>
          <x:t xml:space="preserve">M€ reales</x:t>
        </x:is>
      </x:c>
      <x:c r="D10" s="68" t="str">
        <x:v>Python Monte Carlo v5.2.0</x:v>
      </x:c>
    </x:row>
    <x:row r="11">
      <x:c r="A11" s="68" t="inlineStr">
        <x:is>
          <x:t xml:space="preserve">P(stock terminal &lt; aportaciones)</x:t>
        </x:is>
      </x:c>
      <x:c r="B11" s="311" t="n">
        <x:f>'Monte Carlo'!B10</x:f>
        <x:v>0.24015</x:v>
      </x:c>
      <x:c r="C11" s="68" t="inlineStr">
        <x:is>
          <x:t xml:space="preserve">%</x:t>
        </x:is>
      </x:c>
      <x:c r="D11" s="68" t="str">
        <x:v>Python Monte Carlo v5.2.0</x:v>
      </x:c>
    </x:row>
    <x:row r="12">
      <x:c r="A12" s="68" t="inlineStr">
        <x:is>
          <x:t xml:space="preserve">P(recursos totales &lt; aportaciones)</x:t>
        </x:is>
      </x:c>
      <x:c r="B12" s="311" t="n">
        <x:f>'Monte Carlo'!B11</x:f>
        <x:v>0.10357</x:v>
      </x:c>
      <x:c r="C12" s="68" t="inlineStr">
        <x:is>
          <x:t xml:space="preserve">%</x:t>
        </x:is>
      </x:c>
      <x:c r="D12" s="68" t="str">
        <x:v>Python Monte Carlo v5.2.0</x:v>
      </x:c>
    </x:row>
    <x:row r="13">
      <x:c r="A13" s="69" t="inlineStr">
        <x:is>
          <x:t xml:space="preserve">P(cuenta unitaria 2026 &lt; aportaciones)</x:t>
        </x:is>
      </x:c>
      <x:c r="B13" s="313" t="n">
        <x:f>'Monte Carlo'!B13</x:f>
        <x:v>0.08387</x:v>
      </x:c>
      <x:c r="C13" s="69" t="inlineStr">
        <x:is>
          <x:t xml:space="preserve">%</x:t>
        </x:is>
      </x:c>
      <x:c r="D13" s="69" t="str">
        <x:v>Python Monte Carlo v5.2.0</x:v>
      </x:c>
    </x:row>
    <x:row r="14"/>
    <x:row r="15"/>
    <x:row r="16">
      <x:c r="A16" s="284" t="inlineStr">
        <x:is>
          <x:t xml:space="preserve">El stock terminal, los recursos totales y la experiencia de una cohorte son magnitudes distintas. El modelo no garantiza el principal ni pagos constantes: el suelo de preservación puede suspender distribuciones.</x:t>
        </x:is>
      </x:c>
      <x:c r="B16" s="69" t="n"/>
      <x:c r="C16" s="69" t="n"/>
      <x:c r="D16" s="285" t="n"/>
    </x:row>
    <x:row r="17">
      <x:c r="A17" s="286" t="n"/>
      <x:c r="D17" s="287" t="n"/>
    </x:row>
    <x:row r="18">
      <x:c r="A18" s="286" t="n"/>
      <x:c r="D18" s="287" t="n"/>
    </x:row>
    <x:row r="19">
      <x:c r="A19" s="288" t="n"/>
      <x:c r="B19" s="67" t="n"/>
      <x:c r="C19" s="67" t="n"/>
      <x:c r="D19" s="289" t="n"/>
    </x:row>
  </x:sheetData>
  <x:mergeCells>
    <x:mergeCell ref="A1:H1"/>
    <x:mergeCell ref="A2:H2"/>
    <x:mergeCell ref="A16:D19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4" customWidth="1"/>
    <x:col min="2" max="2" width="23" customWidth="1"/>
    <x:col min="3" max="3" width="23" customWidth="1"/>
    <x:col min="4" max="4" width="20" customWidth="1"/>
    <x:col min="5" max="5" width="18" customWidth="1"/>
    <x:col min="6" max="6" width="16" customWidth="1"/>
  </x:cols>
  <x:sheetData>
    <x:row r="1" ht="34" customHeight="1">
      <x:c r="A1" s="52" t="inlineStr">
        <x:is>
          <x:t xml:space="preserve">Reconciliación Excel–Python</x:t>
        </x:is>
      </x:c>
    </x:row>
    <x:row r="2" ht="30" customHeight="1">
      <x:c r="A2" s="55" t="inlineStr">
        <x:is>
          <x:t xml:space="preserve">Las diferencias deben permanecer dentro de la tolerancia de redondeo.</x:t>
        </x:is>
      </x:c>
    </x:row>
    <x:row r="3"/>
    <x:row r="4">
      <x:c r="A4" s="64" t="inlineStr">
        <x:is>
          <x:t xml:space="preserve">Métrica</x:t>
        </x:is>
      </x:c>
      <x:c r="B4" s="65" t="inlineStr">
        <x:is>
          <x:t xml:space="preserve">Excel</x:t>
        </x:is>
      </x:c>
      <x:c r="C4" s="65" t="inlineStr">
        <x:is>
          <x:t xml:space="preserve">Python</x:t>
        </x:is>
      </x:c>
      <x:c r="D4" s="65" t="inlineStr">
        <x:is>
          <x:t xml:space="preserve">Diferencia</x:t>
        </x:is>
      </x:c>
      <x:c r="E4" s="65" t="inlineStr">
        <x:is>
          <x:t xml:space="preserve">Tolerancia</x:t>
        </x:is>
      </x:c>
      <x:c r="F4" s="66" t="inlineStr">
        <x:is>
          <x:t xml:space="preserve">Estado</x:t>
        </x:is>
      </x:c>
    </x:row>
    <x:row r="5">
      <x:c r="A5" s="67" t="inlineStr">
        <x:is>
          <x:t xml:space="preserve">Patrimonio final</x:t>
        </x:is>
      </x:c>
      <x:c r="B5" s="328" t="n">
        <x:f>'Modelo central'!P44</x:f>
        <x:v>3132093.3056161283</x:v>
      </x:c>
      <x:c r="C5" s="328" t="n">
        <x:v>3132093.305616128</x:v>
      </x:c>
      <x:c r="D5" s="328" t="n">
        <x:f>B5-C5</x:f>
        <x:v>4.656612873077393e-10</x:v>
      </x:c>
      <x:c r="E5" s="328" t="n">
        <x:v>0.05</x:v>
      </x:c>
      <x:c r="F5" s="67" t="b">
        <x:f>ABS(D5)&lt;=E5</x:f>
        <x:v>1</x:v>
      </x:c>
    </x:row>
    <x:row r="6">
      <x:c r="A6" s="68" t="inlineStr">
        <x:is>
          <x:t xml:space="preserve">Aportaciones acumuladas</x:t>
        </x:is>
      </x:c>
      <x:c r="B6" s="329" t="n">
        <x:f>'Modelo central'!Q44</x:f>
        <x:v>2170886.5913590384</x:v>
      </x:c>
      <x:c r="C6" s="329" t="n">
        <x:v>2170886.591359038</x:v>
      </x:c>
      <x:c r="D6" s="329" t="n">
        <x:f>B6-C6</x:f>
        <x:v>4.656612873077393e-10</x:v>
      </x:c>
      <x:c r="E6" s="329" t="n">
        <x:v>0.05</x:v>
      </x:c>
      <x:c r="F6" s="68" t="b">
        <x:f>ABS(D6)&lt;=E6</x:f>
        <x:v>1</x:v>
      </x:c>
    </x:row>
    <x:row r="7">
      <x:c r="A7" s="68" t="inlineStr">
        <x:is>
          <x:t xml:space="preserve">Distribuciones acumuladas</x:t>
        </x:is>
      </x:c>
      <x:c r="B7" s="329" t="n">
        <x:f>'Modelo central'!R44</x:f>
        <x:v>527731.7889429816</x:v>
      </x:c>
      <x:c r="C7" s="329" t="n">
        <x:v>527731.7889429816</x:v>
      </x:c>
      <x:c r="D7" s="329" t="n">
        <x:f>B7-C7</x:f>
        <x:v>0</x:v>
      </x:c>
      <x:c r="E7" s="329" t="n">
        <x:v>0.05</x:v>
      </x:c>
      <x:c r="F7" s="68" t="b">
        <x:f>ABS(D7)&lt;=E7</x:f>
        <x:v>1</x:v>
      </x:c>
    </x:row>
    <x:row r="8">
      <x:c r="A8" s="69" t="inlineStr">
        <x:is>
          <x:t xml:space="preserve">NAV final por UCA</x:t>
        </x:is>
      </x:c>
      <x:c r="B8" s="330" t="n">
        <x:f>'Modelo central'!X44</x:f>
        <x:v>2.780964525251184</x:v>
      </x:c>
      <x:c r="C8" s="330" t="n">
        <x:v>2.780964525251184</x:v>
      </x:c>
      <x:c r="D8" s="330" t="n">
        <x:f>B8-C8</x:f>
        <x:v>0</x:v>
      </x:c>
      <x:c r="E8" s="330" t="n">
        <x:v>0.05</x:v>
      </x:c>
      <x:c r="F8" s="69" t="b">
        <x:f>ABS(D8)&lt;=E8</x:f>
        <x:v>1</x:v>
      </x:c>
    </x:row>
    <x:row r="9"/>
    <x:row r="10"/>
    <x:row r="11">
      <x:c r="A11" s="284" t="str">
        <x:v>Excel y Python implementan las mismas reglas y reconcilian cuatro salidas deterministas. Esto es una comprobación entre implementaciones, no una validación externa de los supuestos. Las cifras importadas deben regenerarse al cambiar la configuración.</x:v>
      </x:c>
      <x:c r="B11" s="69" t="n"/>
      <x:c r="C11" s="69" t="n"/>
      <x:c r="D11" s="69" t="n"/>
      <x:c r="E11" s="69" t="n"/>
      <x:c r="F11" s="285" t="n"/>
    </x:row>
    <x:row r="12">
      <x:c r="A12" s="286" t="n"/>
      <x:c r="F12" s="287" t="n"/>
    </x:row>
    <x:row r="13">
      <x:c r="A13" s="288" t="n"/>
      <x:c r="B13" s="67" t="n"/>
      <x:c r="C13" s="67" t="n"/>
      <x:c r="D13" s="67" t="n"/>
      <x:c r="E13" s="67" t="n"/>
      <x:c r="F13" s="289" t="n"/>
    </x:row>
  </x:sheetData>
  <x:mergeCells>
    <x:mergeCell ref="A11:F13"/>
    <x:mergeCell ref="A2:H2"/>
    <x:mergeCell ref="A1:H1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2" customWidth="1"/>
    <x:col min="2" max="2" width="14" customWidth="1"/>
    <x:col min="3" max="3" width="14" customWidth="1"/>
    <x:col min="4" max="4" width="14" customWidth="1"/>
    <x:col min="5" max="5" width="4" customWidth="1"/>
    <x:col min="6" max="6" width="16" customWidth="1"/>
    <x:col min="7" max="7" width="18" customWidth="1"/>
    <x:col min="8" max="8" width="4" customWidth="1"/>
    <x:col min="9" max="9" width="18" customWidth="1"/>
    <x:col min="10" max="10" width="18" customWidth="1"/>
    <x:col min="11" max="11" width="4" customWidth="1"/>
    <x:col min="12" max="12" width="4" customWidth="1"/>
    <x:col min="13" max="13" width="16" customWidth="1"/>
    <x:col min="14" max="14" width="16" customWidth="1"/>
    <x:col min="15" max="15" width="16" customWidth="1"/>
  </x:cols>
  <x:sheetData>
    <x:row r="1" ht="34" customHeight="1">
      <x:c r="A1" s="52" t="inlineStr">
        <x:is>
          <x:t xml:space="preserve">Panel de evaluación del PEE</x:t>
        </x:is>
      </x:c>
    </x:row>
    <x:row r="2" ht="30" customHeight="1">
      <x:c r="A2" s="55" t="inlineStr">
        <x:is>
          <x:t xml:space="preserve">Resumen condicionado: magnitudes reales, escenarios y riesgos no equivalentes.</x:t>
        </x:is>
      </x:c>
    </x:row>
    <x:row r="3"/>
    <x:row r="4">
      <x:c r="A4" s="188" t="inlineStr">
        <x:is>
          <x:t xml:space="preserve">Patrimonio central 2065</x:t>
        </x:is>
      </x:c>
      <x:c r="E4" s="188" t="inlineStr">
        <x:is>
          <x:t xml:space="preserve">Mediana Monte Carlo</x:t>
        </x:is>
      </x:c>
      <x:c r="I4" s="188" t="inlineStr">
        <x:is>
          <x:t xml:space="preserve">P(recursos &lt; aport.)</x:t>
        </x:is>
      </x:c>
      <x:c r="M4" s="188" t="inlineStr">
        <x:is>
          <x:t xml:space="preserve">P(cuenta unitaria 2026 &lt; aport.)</x:t>
        </x:is>
      </x:c>
    </x:row>
    <x:row r="5">
      <x:c r="A5" s="334" t="n">
        <x:f>'Resultados'!B5</x:f>
        <x:v>3132093.3056161283</x:v>
      </x:c>
      <x:c r="B5" s="277" t="n"/>
      <x:c r="C5" s="278" t="n"/>
      <x:c r="E5" s="334" t="n">
        <x:f>'Resultados'!B8</x:f>
        <x:v>2713299.637332425</x:v>
      </x:c>
      <x:c r="F5" s="277" t="n"/>
      <x:c r="G5" s="278" t="n"/>
      <x:c r="I5" s="335" t="n">
        <x:f>'Resultados'!B12</x:f>
        <x:v>0.10357</x:v>
      </x:c>
      <x:c r="J5" s="277" t="n"/>
      <x:c r="K5" s="278" t="n"/>
      <x:c r="M5" s="335" t="n">
        <x:f>'Resultados'!B13</x:f>
        <x:v>0.08387</x:v>
      </x:c>
      <x:c r="N5" s="277" t="n"/>
      <x:c r="O5" s="278" t="n"/>
    </x:row>
    <x:row r="6">
      <x:c r="A6" s="279" t="n"/>
      <x:c r="C6" s="280" t="n"/>
      <x:c r="E6" s="279" t="n"/>
      <x:c r="G6" s="280" t="n"/>
      <x:c r="I6" s="279" t="n"/>
      <x:c r="K6" s="280" t="n"/>
      <x:c r="M6" s="279" t="n"/>
      <x:c r="O6" s="280" t="n"/>
    </x:row>
    <x:row r="7">
      <x:c r="A7" s="281" t="n"/>
      <x:c r="B7" s="282" t="n"/>
      <x:c r="C7" s="283" t="n"/>
      <x:c r="E7" s="281" t="n"/>
      <x:c r="F7" s="282" t="n"/>
      <x:c r="G7" s="283" t="n"/>
      <x:c r="I7" s="281" t="n"/>
      <x:c r="J7" s="282" t="n"/>
      <x:c r="K7" s="283" t="n"/>
      <x:c r="M7" s="281" t="n"/>
      <x:c r="N7" s="282" t="n"/>
      <x:c r="O7" s="283" t="n"/>
    </x:row>
    <x:row r="8"/>
    <x:row r="9"/>
    <x:row r="10"/>
    <x:row r="11">
      <x:c r="A11" t="inlineStr">
        <x:is>
          <x:t xml:space="preserve">Año</x:t>
        </x:is>
      </x:c>
      <x:c r="B11" t="inlineStr">
        <x:is>
          <x:t xml:space="preserve">Patrimonio</x:t>
        </x:is>
      </x:c>
      <x:c r="C11" t="inlineStr">
        <x:is>
          <x:t xml:space="preserve">Aportaciones acum.</x:t>
        </x:is>
      </x:c>
      <x:c r="D11" t="inlineStr">
        <x:is>
          <x:t xml:space="preserve">Distribuciones acum.</x:t>
        </x:is>
      </x:c>
      <x:c r="F11" t="inlineStr">
        <x:is>
          <x:t xml:space="preserve">Escenario</x:t>
        </x:is>
      </x:c>
      <x:c r="G11" t="inlineStr">
        <x:is>
          <x:t xml:space="preserve">Patrimonio final</x:t>
        </x:is>
      </x:c>
      <x:c r="I11" t="inlineStr">
        <x:is>
          <x:t xml:space="preserve">Métrica</x:t>
        </x:is>
      </x:c>
      <x:c r="J11" t="inlineStr">
        <x:is>
          <x:t xml:space="preserve">Probabilidad</x:t>
        </x:is>
      </x:c>
    </x:row>
    <x:row r="12">
      <x:c r="A12" t="n">
        <x:f>'Modelo central'!A5</x:f>
        <x:v>2026</x:v>
      </x:c>
      <x:c r="B12" t="n">
        <x:f>'Modelo central'!P5</x:f>
        <x:v>5500</x:v>
      </x:c>
      <x:c r="C12" t="n">
        <x:f>'Modelo central'!Q5</x:f>
        <x:v>5500</x:v>
      </x:c>
      <x:c r="D12" t="n">
        <x:f>'Modelo central'!R5</x:f>
        <x:v>0</x:v>
      </x:c>
      <x:c r="F12" t="str">
        <x:f>'Escenarios'!A5</x:f>
        <x:v>Adverso</x:v>
      </x:c>
      <x:c r="G12" t="n">
        <x:f>'Escenarios'!E5</x:f>
        <x:v>1278313.221545925</x:v>
      </x:c>
      <x:c r="I12" t="inlineStr">
        <x:is>
          <x:t xml:space="preserve">Stock &lt; aport.</x:t>
        </x:is>
      </x:c>
      <x:c r="J12" t="n">
        <x:f>'Resultados'!B11</x:f>
        <x:v>0.24015</x:v>
      </x:c>
    </x:row>
    <x:row r="13">
      <x:c r="A13" t="n">
        <x:f>'Modelo central'!A6</x:f>
        <x:v>2027</x:v>
      </x:c>
      <x:c r="B13" t="n">
        <x:f>'Modelo central'!P6</x:f>
        <x:v>11231</x:v>
      </x:c>
      <x:c r="C13" t="n">
        <x:f>'Modelo central'!Q6</x:f>
        <x:v>11044</x:v>
      </x:c>
      <x:c r="D13" t="n">
        <x:f>'Modelo central'!R6</x:f>
        <x:v>0</x:v>
      </x:c>
      <x:c r="F13" t="str">
        <x:f>'Escenarios'!A6</x:f>
        <x:v>Prudente</x:v>
      </x:c>
      <x:c r="G13" t="n">
        <x:f>'Escenarios'!E6</x:f>
        <x:v>2297176.530974001</x:v>
      </x:c>
      <x:c r="I13" t="inlineStr">
        <x:is>
          <x:t xml:space="preserve">Recursos &lt; aport.</x:t>
        </x:is>
      </x:c>
      <x:c r="J13" t="n">
        <x:f>'Resultados'!B12</x:f>
        <x:v>0.10357</x:v>
      </x:c>
    </x:row>
    <x:row r="14">
      <x:c r="A14" t="n">
        <x:f>'Modelo central'!A7</x:f>
        <x:v>2028</x:v>
      </x:c>
      <x:c r="B14" t="n">
        <x:f>'Modelo central'!P7</x:f>
        <x:v>22789.558</x:v>
      </x:c>
      <x:c r="C14" t="n">
        <x:f>'Modelo central'!Q7</x:f>
        <x:v>22220.704</x:v>
      </x:c>
      <x:c r="D14" t="n">
        <x:f>'Modelo central'!R7</x:f>
        <x:v>0</x:v>
      </x:c>
      <x:c r="F14" t="str">
        <x:f>'Escenarios'!A7</x:f>
        <x:v>Central</x:v>
      </x:c>
      <x:c r="G14" t="n">
        <x:f>'Escenarios'!E7</x:f>
        <x:v>3132093.305616128</x:v>
      </x:c>
      <x:c r="I14" t="inlineStr">
        <x:is>
          <x:t xml:space="preserve">Cuenta unitaria 2026 &lt; aport.</x:t>
        </x:is>
      </x:c>
      <x:c r="J14" t="n">
        <x:f>'Resultados'!B13</x:f>
        <x:v>0.08387</x:v>
      </x:c>
    </x:row>
    <x:row r="15">
      <x:c r="A15" t="n">
        <x:f>'Modelo central'!A8</x:f>
        <x:v>2029</x:v>
      </x:c>
      <x:c r="B15" t="n">
        <x:f>'Modelo central'!P8</x:f>
        <x:v>34830.520604</x:v>
      </x:c>
      <x:c r="C15" t="n">
        <x:f>'Modelo central'!Q8</x:f>
        <x:v>33486.821632</x:v>
      </x:c>
      <x:c r="D15" t="n">
        <x:f>'Modelo central'!R8</x:f>
        <x:v>0</x:v>
      </x:c>
      <x:c r="F15" t="str">
        <x:f>'Escenarios'!A8</x:f>
        <x:v>Favorable</x:v>
      </x:c>
      <x:c r="G15" t="n">
        <x:f>'Escenarios'!E8</x:f>
        <x:v>4889415.878680043</x:v>
      </x:c>
    </x:row>
    <x:row r="16">
      <x:c r="A16" t="n">
        <x:f>'Modelo central'!A9</x:f>
        <x:v>2030</x:v>
      </x:c>
      <x:c r="B16" t="n">
        <x:f>'Modelo central'!P9</x:f>
        <x:v>53049.12816411999</x:v>
      </x:c>
      <x:c r="C16" t="n">
        <x:f>'Modelo central'!Q9</x:f>
        <x:v>50521.191491584</x:v>
      </x:c>
      <x:c r="D16" t="n">
        <x:f>'Modelo central'!R9</x:f>
        <x:v>0</x:v>
      </x:c>
    </x:row>
    <x:row r="17">
      <x:c r="A17" t="n">
        <x:f>'Modelo central'!A10</x:f>
        <x:v>2031</x:v>
      </x:c>
      <x:c r="B17" t="n">
        <x:f>'Modelo central'!P10</x:f>
        <x:v>72023.44334016074</x:v>
      </x:c>
      <x:c r="C17" t="n">
        <x:f>'Modelo central'!Q10</x:f>
        <x:v>67691.83631004467</x:v>
      </x:c>
      <x:c r="D17" t="n">
        <x:f>'Modelo central'!R10</x:f>
        <x:v>0</x:v>
      </x:c>
    </x:row>
    <x:row r="18">
      <x:c r="A18" t="n">
        <x:f>'Modelo central'!A11</x:f>
        <x:v>2032</x:v>
      </x:c>
      <x:c r="B18" t="n">
        <x:f>'Modelo central'!P11</x:f>
        <x:v>103318.92370874013</x:v>
      </x:c>
      <x:c r="C18" t="n">
        <x:f>'Modelo central'!Q11</x:f>
        <x:v>96538.5196050586</x:v>
      </x:c>
      <x:c r="D18" t="n">
        <x:f>'Modelo central'!R11</x:f>
        <x:v>0</x:v>
      </x:c>
    </x:row>
    <x:row r="19">
      <x:c r="A19" t="n">
        <x:f>'Modelo central'!A12</x:f>
        <x:v>2033</x:v>
      </x:c>
      <x:c r="B19" t="n">
        <x:f>'Modelo central'!P12</x:f>
        <x:v>135909.22387621136</x:v>
      </x:c>
      <x:c r="C19" t="n">
        <x:f>'Modelo central'!Q12</x:f>
        <x:v>125615.97636643265</x:v>
      </x:c>
      <x:c r="D19" t="n">
        <x:f>'Modelo central'!R12</x:f>
        <x:v>0</x:v>
      </x:c>
    </x:row>
    <x:row r="20">
      <x:c r="A20" t="n">
        <x:f>'Modelo central'!A13</x:f>
        <x:v>2034</x:v>
      </x:c>
      <x:c r="B20" t="n">
        <x:f>'Modelo central'!P13</x:f>
        <x:v>169840.21390346758</x:v>
      </x:c>
      <x:c r="C20" t="n">
        <x:f>'Modelo central'!Q13</x:f>
        <x:v>154926.05278189768</x:v>
      </x:c>
      <x:c r="D20" t="n">
        <x:f>'Modelo central'!R13</x:f>
        <x:v>0</x:v>
      </x:c>
    </x:row>
    <x:row r="21">
      <x:c r="A21" t="n">
        <x:f>'Modelo central'!A14</x:f>
        <x:v>2035</x:v>
      </x:c>
      <x:c r="B21" t="n">
        <x:f>'Modelo central'!P14</x:f>
        <x:v>216977.16101368974</x:v>
      </x:c>
      <x:c r="C21" t="n">
        <x:f>'Modelo central'!Q14</x:f>
        <x:v>196288.43261940195</x:v>
      </x:c>
      <x:c r="D21" t="n">
        <x:f>'Modelo central'!R14</x:f>
        <x:v>0</x:v>
      </x:c>
    </x:row>
    <x:row r="22">
      <x:c r="A22" t="n">
        <x:f>'Modelo central'!A15</x:f>
        <x:v>2036</x:v>
      </x:c>
      <x:c r="B22" t="n">
        <x:f>'Modelo central'!P15</x:f>
        <x:v>266047.66336435947</x:v>
      </x:c>
      <x:c r="C22" t="n">
        <x:f>'Modelo central'!Q15</x:f>
        <x:v>237981.71149560626</x:v>
      </x:c>
      <x:c r="D22" t="n">
        <x:f>'Modelo central'!R15</x:f>
        <x:v>0</x:v>
      </x:c>
    </x:row>
    <x:row r="23">
      <x:c r="A23" t="n">
        <x:f>'Modelo central'!A16</x:f>
        <x:v>2037</x:v>
      </x:c>
      <x:c r="B23" t="n">
        <x:f>'Modelo central'!P16</x:f>
        <x:v>317120.10902596166</x:v>
      </x:c>
      <x:c r="C23" t="n">
        <x:f>'Modelo central'!Q16</x:f>
        <x:v>280008.5366028202</x:v>
      </x:c>
      <x:c r="D23" t="n">
        <x:f>'Modelo central'!R16</x:f>
        <x:v>0</x:v>
      </x:c>
    </x:row>
    <x:row r="24">
      <x:c r="A24" t="n">
        <x:f>'Modelo central'!A17</x:f>
        <x:v>2038</x:v>
      </x:c>
      <x:c r="B24" t="n">
        <x:f>'Modelo central'!P17</x:f>
        <x:v>388420.82088723243</x:v>
      </x:c>
      <x:c r="C24" t="n">
        <x:f>'Modelo central'!Q17</x:f>
        <x:v>340527.16475720826</x:v>
      </x:c>
      <x:c r="D24" t="n">
        <x:f>'Modelo central'!R17</x:f>
        <x:v>0</x:v>
      </x:c>
    </x:row>
    <x:row r="25">
      <x:c r="A25" t="n">
        <x:f>'Modelo central'!A18</x:f>
        <x:v>2039</x:v>
      </x:c>
      <x:c r="B25" t="n">
        <x:f>'Modelo central'!P18</x:f>
        <x:v>462629.9059770215</x:v>
      </x:c>
      <x:c r="C25" t="n">
        <x:f>'Modelo central'!Q18</x:f>
        <x:v>401529.9419368314</x:v>
      </x:c>
      <x:c r="D25" t="n">
        <x:f>'Modelo central'!R18</x:f>
        <x:v>0</x:v>
      </x:c>
    </x:row>
    <x:row r="26">
      <x:c r="A26" t="n">
        <x:f>'Modelo central'!A19</x:f>
        <x:v>2040</x:v>
      </x:c>
      <x:c r="B26" t="n">
        <x:f>'Modelo central'!P19</x:f>
        <x:v>539850.1221773004</x:v>
      </x:c>
      <x:c r="C26" t="n">
        <x:f>'Modelo central'!Q19</x:f>
        <x:v>463020.7413338915</x:v>
      </x:c>
      <x:c r="D26" t="n">
        <x:f>'Modelo central'!R19</x:f>
        <x:v>0</x:v>
      </x:c>
    </x:row>
    <x:row r="27">
      <x:c r="A27" t="n">
        <x:f>'Modelo central'!A20</x:f>
        <x:v>2041</x:v>
      </x:c>
      <x:c r="B27" t="n">
        <x:f>'Modelo central'!P20</x:f>
        <x:v>620187.7521235653</x:v>
      </x:c>
      <x:c r="C27" t="n">
        <x:f>'Modelo central'!Q20</x:f>
        <x:v>525003.4671261281</x:v>
      </x:c>
      <x:c r="D27" t="n">
        <x:f>'Modelo central'!R20</x:f>
        <x:v>0</x:v>
      </x:c>
    </x:row>
    <x:row r="28">
      <x:c r="A28" t="n">
        <x:f>'Modelo central'!A21</x:f>
        <x:v>2042</x:v>
      </x:c>
      <x:c r="B28" t="n">
        <x:f>'Modelo central'!P21</x:f>
        <x:v>703752.7232943409</x:v>
      </x:c>
      <x:c r="C28" t="n">
        <x:f>'Modelo central'!Q21</x:f>
        <x:v>587482.0547247026</x:v>
      </x:c>
      <x:c r="D28" t="n">
        <x:f>'Modelo central'!R21</x:f>
        <x:v>0</x:v>
      </x:c>
    </x:row>
    <x:row r="29">
      <x:c r="A29" t="n">
        <x:f>'Modelo central'!A22</x:f>
        <x:v>2043</x:v>
      </x:c>
      <x:c r="B29" t="n">
        <x:f>'Modelo central'!P22</x:f>
        <x:v>790658.7321857116</x:v>
      </x:c>
      <x:c r="C29" t="n">
        <x:f>'Modelo central'!Q22</x:f>
        <x:v>650460.4710240657</x:v>
      </x:c>
      <x:c r="D29" t="n">
        <x:f>'Modelo central'!R22</x:f>
        <x:v>0</x:v>
      </x:c>
    </x:row>
    <x:row r="30">
      <x:c r="A30" t="n">
        <x:f>'Modelo central'!A23</x:f>
        <x:v>2044</x:v>
      </x:c>
      <x:c r="B30" t="n">
        <x:f>'Modelo central'!P23</x:f>
        <x:v>871672.13500251</x:v>
      </x:c>
      <x:c r="C30" t="n">
        <x:f>'Modelo central'!Q23</x:f>
        <x:v>713942.7146538238</x:v>
      </x:c>
      <x:c r="D30" t="n">
        <x:f>'Modelo central'!R23</x:f>
        <x:v>9351.237707273818</x:v>
      </x:c>
    </x:row>
    <x:row r="31">
      <x:c r="A31" t="n">
        <x:f>'Modelo central'!A24</x:f>
        <x:v>2045</x:v>
      </x:c>
      <x:c r="B31" t="n">
        <x:f>'Modelo central'!P24</x:f>
        <x:v>954720.7247770411</x:v>
      </x:c>
      <x:c r="C31" t="n">
        <x:f>'Modelo central'!Q24</x:f>
        <x:v>777932.8162326198</x:v>
      </x:c>
      <x:c r="D31" t="n">
        <x:f>'Modelo central'!R24</x:f>
        <x:v>19929.602101624103</x:v>
      </x:c>
    </x:row>
    <x:row r="32">
      <x:c r="A32" t="n">
        <x:f>'Modelo central'!A25</x:f>
        <x:v>2046</x:v>
      </x:c>
      <x:c r="B32" t="n">
        <x:f>'Modelo central'!P25</x:f>
        <x:v>1039860.2756087375</x:v>
      </x:c>
      <x:c r="C32" t="n">
        <x:f>'Modelo central'!Q25</x:f>
        <x:v>842434.8386240463</x:v>
      </x:c>
      <x:c r="D32" t="n">
        <x:f>'Modelo central'!R25</x:f>
        <x:v>31752.57830377361</x:v>
      </x:c>
    </x:row>
    <x:row r="33">
      <x:c r="A33" t="n">
        <x:f>'Modelo central'!A26</x:f>
        <x:v>2047</x:v>
      </x:c>
      <x:c r="B33" t="n">
        <x:f>'Modelo central'!P26</x:f>
        <x:v>1127151.5697773877</x:v>
      </x:c>
      <x:c r="C33" t="n">
        <x:f>'Modelo central'!Q26</x:f>
        <x:v>907452.8771946041</x:v>
      </x:c>
      <x:c r="D33" t="n">
        <x:f>'Modelo central'!R26</x:f>
        <x:v>44834.57207637864</x:v>
      </x:c>
    </x:row>
    <x:row r="34">
      <x:c r="A34" t="n">
        <x:f>'Modelo central'!A27</x:f>
        <x:v>2048</x:v>
      </x:c>
      <x:c r="B34" t="n">
        <x:f>'Modelo central'!P27</x:f>
        <x:v>1216660.7157168868</x:v>
      </x:c>
      <x:c r="C34" t="n">
        <x:f>'Modelo central'!Q27</x:f>
        <x:v>972991.0600737265</x:v>
      </x:c>
      <x:c r="D34" t="n">
        <x:f>'Modelo central'!R27</x:f>
        <x:v>59186.7623884328</x:v>
      </x:c>
    </x:row>
    <x:row r="35">
      <x:c r="A35" t="n">
        <x:f>'Modelo central'!A28</x:f>
        <x:v>2049</x:v>
      </x:c>
      <x:c r="B35" t="n">
        <x:f>'Modelo central'!P28</x:f>
        <x:v>1308459.4721307685</x:v>
      </x:c>
      <x:c r="C35" t="n">
        <x:f>'Modelo central'!Q28</x:f>
        <x:v>1039053.5484158818</x:v>
      </x:c>
      <x:c r="D35" t="n">
        <x:f>'Modelo central'!R28</x:f>
        <x:v>74816.9586510805</x:v>
      </x:c>
    </x:row>
    <x:row r="36">
      <x:c r="A36" t="n">
        <x:f>'Modelo central'!A29</x:f>
        <x:v>2050</x:v>
      </x:c>
      <x:c r="B36" t="n">
        <x:f>'Modelo central'!P29</x:f>
        <x:v>1402597.5241580745</x:v>
      </x:c>
      <x:c r="C36" t="n">
        <x:f>'Modelo central'!Q29</x:f>
        <x:v>1105644.5366647744</x:v>
      </x:c>
      <x:c r="D36" t="n">
        <x:f>'Modelo central'!R29</x:f>
        <x:v>91757.51692511296</x:v>
      </x:c>
    </x:row>
    <x:row r="37">
      <x:c r="A37" t="n">
        <x:f>'Modelo central'!A30</x:f>
        <x:v>2051</x:v>
      </x:c>
      <x:c r="B37" t="n">
        <x:f>'Modelo central'!P30</x:f>
        <x:v>1499125.367462157</x:v>
      </x:c>
      <x:c r="C37" t="n">
        <x:f>'Modelo central'!Q30</x:f>
        <x:v>1172768.252819658</x:v>
      </x:c>
      <x:c r="D37" t="n">
        <x:f>'Modelo central'!R30</x:f>
        <x:v>110041.70559728851</x:v>
      </x:c>
    </x:row>
    <x:row r="38">
      <x:c r="A38" t="n">
        <x:f>'Modelo central'!A31</x:f>
        <x:v>2052</x:v>
      </x:c>
      <x:c r="B38" t="n">
        <x:f>'Modelo central'!P31</x:f>
        <x:v>1598094.3518922573</x:v>
      </x:c>
      <x:c r="C38" t="n">
        <x:f>'Modelo central'!Q31</x:f>
        <x:v>1240428.9587037808</x:v>
      </x:c>
      <x:c r="D38" t="n">
        <x:f>'Modelo central'!R31</x:f>
        <x:v>129703.68954502433</x:v>
      </x:c>
    </x:row>
    <x:row r="39">
      <x:c r="A39" t="n">
        <x:f>'Modelo central'!A32</x:f>
        <x:v>2053</x:v>
      </x:c>
      <x:c r="B39" t="n">
        <x:f>'Modelo central'!P32</x:f>
        <x:v>1699556.7390937095</x:v>
      </x:c>
      <x:c r="C39" t="n">
        <x:f>'Modelo central'!Q32</x:f>
        <x:v>1308630.9502349766</x:v>
      </x:c>
      <x:c r="D39" t="n">
        <x:f>'Modelo central'!R32</x:f>
        <x:v>150778.50183910475</x:v>
      </x:c>
    </x:row>
    <x:row r="40">
      <x:c r="A40" t="n">
        <x:f>'Modelo central'!A33</x:f>
        <x:v>2054</x:v>
      </x:c>
      <x:c r="B40" t="n">
        <x:f>'Modelo central'!P33</x:f>
        <x:v>1803565.77532213</x:v>
      </x:c>
      <x:c r="C40" t="n">
        <x:f>'Modelo central'!Q33</x:f>
        <x:v>1377378.5576984219</x:v>
      </x:c>
      <x:c r="D40" t="n">
        <x:f>'Modelo central'!R33</x:f>
        <x:v>173302.00220331564</x:v>
      </x:c>
    </x:row>
    <x:row r="41">
      <x:c r="A41" t="n">
        <x:f>'Modelo central'!A34</x:f>
        <x:v>2055</x:v>
      </x:c>
      <x:c r="B41" t="n">
        <x:f>'Modelo central'!P34</x:f>
        <x:v>1910175.7807324503</x:v>
      </x:c>
      <x:c r="C41" t="n">
        <x:f>'Modelo central'!Q34</x:f>
        <x:v>1446676.1460215747</x:v>
      </x:c>
      <x:c r="D41" t="n">
        <x:f>'Modelo central'!R34</x:f>
        <x:v>197310.82147710063</x:v>
      </x:c>
    </x:row>
    <x:row r="42">
      <x:c r="A42" t="n">
        <x:f>'Modelo central'!A35</x:f>
        <x:v>2056</x:v>
      </x:c>
      <x:c r="B42" t="n">
        <x:f>'Modelo central'!P35</x:f>
        <x:v>2019442.1722635836</x:v>
      </x:c>
      <x:c r="C42" t="n">
        <x:f>'Modelo central'!Q35</x:f>
        <x:v>1516528.1150513128</x:v>
      </x:c>
      <x:c r="D42" t="n">
        <x:f>'Modelo central'!R35</x:f>
        <x:v>222842.37552060874</x:v>
      </x:c>
    </x:row>
    <x:row r="43">
      <x:c r="A43" t="n">
        <x:f>'Modelo central'!A36</x:f>
        <x:v>2057</x:v>
      </x:c>
      <x:c r="B43" t="n">
        <x:f>'Modelo central'!P36</x:f>
        <x:v>2131421.486444609</x:v>
      </x:c>
      <x:c r="C43" t="n">
        <x:f>'Modelo central'!Q36</x:f>
        <x:v>1586938.8998332887</x:v>
      </x:c>
      <x:c r="D43" t="n">
        <x:f>'Modelo central'!R36</x:f>
        <x:v>249934.87997852112</x:v>
      </x:c>
    </x:row>
    <x:row r="44">
      <x:c r="A44" t="n">
        <x:f>'Modelo central'!A37</x:f>
        <x:v>2058</x:v>
      </x:c>
      <x:c r="B44" t="n">
        <x:f>'Modelo central'!P37</x:f>
        <x:v>2246171.4021823877</x:v>
      </x:c>
      <x:c r="C44" t="n">
        <x:f>'Modelo central'!Q37</x:f>
        <x:v>1657912.9708935206</x:v>
      </x:c>
      <x:c r="D44" t="n">
        <x:f>'Modelo central'!R37</x:f>
        <x:v>278627.36584009056</x:v>
      </x:c>
    </x:row>
    <x:row r="45">
      <x:c r="A45" t="n">
        <x:f>'Modelo central'!A38</x:f>
        <x:v>2059</x:v>
      </x:c>
      <x:c r="B45" t="n">
        <x:f>'Modelo central'!P38</x:f>
        <x:v>2363750.7636344675</x:v>
      </x:c>
      <x:c r="C45" t="n">
        <x:f>'Modelo central'!Q38</x:f>
        <x:v>1729454.8345222343</x:v>
      </x:c>
      <x:c r="D45" t="n">
        <x:f>'Modelo central'!R38</x:f>
        <x:v>308959.69569092605</x:v>
      </x:c>
    </x:row>
    <x:row r="46">
      <x:c r="A46" t="n">
        <x:f>'Modelo central'!A39</x:f>
        <x:v>2060</x:v>
      </x:c>
      <x:c r="B46" t="n">
        <x:f>'Modelo central'!P39</x:f>
        <x:v>2484219.60332001</x:v>
      </x:c>
      <x:c r="C46" t="n">
        <x:f>'Modelo central'!Q39</x:f>
        <x:v>1801569.0330599777</x:v>
      </x:c>
      <x:c r="D46" t="n">
        <x:f>'Modelo central'!R39</x:f>
        <x:v>340972.5805066985</x:v>
      </x:c>
    </x:row>
    <x:row r="47">
      <x:c r="A47" t="n">
        <x:f>'Modelo central'!A40</x:f>
        <x:v>2061</x:v>
      </x:c>
      <x:c r="B47" t="n">
        <x:f>'Modelo central'!P40</x:f>
        <x:v>2607639.1656754008</x:v>
      </x:c>
      <x:c r="C47" t="n">
        <x:f>'Modelo central'!Q40</x:f>
        <x:v>1874260.145186023</x:v>
      </x:c>
      <x:c r="D47" t="n">
        <x:f>'Modelo central'!R40</x:f>
        <x:v>374707.5967902337</x:v>
      </x:c>
    </x:row>
    <x:row r="48">
      <x:c r="A48" t="n">
        <x:f>'Modelo central'!A41</x:f>
        <x:v>2062</x:v>
      </x:c>
      <x:c r="B48" t="n">
        <x:f>'Modelo central'!P41</x:f>
        <x:v>2734071.931067648</x:v>
      </x:c>
      <x:c r="C48" t="n">
        <x:f>'Modelo central'!Q41</x:f>
        <x:v>1947532.7862090769</x:v>
      </x:c>
      <x:c r="D48" t="n">
        <x:f>'Modelo central'!R41</x:f>
        <x:v>410207.2040540043</x:v>
      </x:c>
    </x:row>
    <x:row r="49">
      <x:c r="A49" t="n">
        <x:f>'Modelo central'!A42</x:f>
        <x:v>2063</x:v>
      </x:c>
      <x:c r="B49" t="n">
        <x:f>'Modelo central'!P42</x:f>
        <x:v>2863581.6402775464</x:v>
      </x:c>
      <x:c r="C49" t="n">
        <x:f>'Modelo central'!Q42</x:f>
        <x:v>2021391.608360315</x:v>
      </x:c>
      <x:c r="D49" t="n">
        <x:f>'Modelo central'!R42</x:f>
        <x:v>447514.762651644</x:v>
      </x:c>
    </x:row>
    <x:row r="50">
      <x:c r="A50" t="n">
        <x:f>'Modelo central'!A43</x:f>
        <x:v>2064</x:v>
      </x:c>
      <x:c r="B50" t="n">
        <x:f>'Modelo central'!P43</x:f>
        <x:v>2996233.319463506</x:v>
      </x:c>
      <x:c r="C50" t="n">
        <x:f>'Modelo central'!Q43</x:f>
        <x:v>2095841.301088763</x:v>
      </x:c>
      <x:c r="D50" t="n">
        <x:f>'Modelo central'!R43</x:f>
        <x:v>486674.55196356925</x:v>
      </x:c>
    </x:row>
    <x:row r="51">
      <x:c r="A51" t="n">
        <x:f>'Modelo central'!A44</x:f>
        <x:v>2065</x:v>
      </x:c>
      <x:c r="B51" t="n">
        <x:f>'Modelo central'!P44</x:f>
        <x:v>3132093.3056161283</x:v>
      </x:c>
      <x:c r="C51" t="n">
        <x:f>'Modelo central'!Q44</x:f>
        <x:v>2170886.5913590384</x:v>
      </x:c>
      <x:c r="D51" t="n">
        <x:f>'Modelo central'!R44</x:f>
        <x:v>527731.7889429816</x:v>
      </x:c>
    </x:row>
    <x:row r="52"/>
    <x:row r="53"/>
    <x:row r="54"/>
    <x:row r="55"/>
    <x:row r="56"/>
    <x:row r="57"/>
    <x:row r="58"/>
    <x:row r="59"/>
    <x:row r="60"/>
    <x:row r="61"/>
    <x:row r="62"/>
    <x:row r="63"/>
    <x:row r="64"/>
    <x:row r="65"/>
    <x:row r="66"/>
    <x:row r="67"/>
    <x:row r="68"/>
    <x:row r="69"/>
    <x:row r="70"/>
    <x:row r="71"/>
    <x:row r="72"/>
    <x:row r="73"/>
    <x:row r="74"/>
    <x:row r="75">
      <x:c r="A75" s="284" t="inlineStr">
        <x:is>
          <x:t xml:space="preserve">Panel de navegación. Los gráficos se alimentan de rangos vinculados por fórmulas. Ninguna cifra constituye una garantía ni una previsión oficial.</x:t>
        </x:is>
      </x:c>
      <x:c r="B75" s="69" t="n"/>
      <x:c r="C75" s="69" t="n"/>
      <x:c r="D75" s="69" t="n"/>
      <x:c r="E75" s="69" t="n"/>
      <x:c r="F75" s="69" t="n"/>
      <x:c r="G75" s="69" t="n"/>
      <x:c r="H75" s="69" t="n"/>
      <x:c r="I75" s="69" t="n"/>
      <x:c r="J75" s="69" t="n"/>
      <x:c r="K75" s="69" t="n"/>
      <x:c r="L75" s="69" t="n"/>
      <x:c r="M75" s="69" t="n"/>
      <x:c r="N75" s="69" t="n"/>
      <x:c r="O75" s="285" t="n"/>
    </x:row>
    <x:row r="76">
      <x:c r="A76" s="286" t="n"/>
      <x:c r="O76" s="287" t="n"/>
    </x:row>
    <x:row r="77">
      <x:c r="A77" s="288" t="n"/>
      <x:c r="B77" s="67" t="n"/>
      <x:c r="C77" s="67" t="n"/>
      <x:c r="D77" s="67" t="n"/>
      <x:c r="E77" s="67" t="n"/>
      <x:c r="F77" s="67" t="n"/>
      <x:c r="G77" s="67" t="n"/>
      <x:c r="H77" s="67" t="n"/>
      <x:c r="I77" s="67" t="n"/>
      <x:c r="J77" s="67" t="n"/>
      <x:c r="K77" s="67" t="n"/>
      <x:c r="L77" s="67" t="n"/>
      <x:c r="M77" s="67" t="n"/>
      <x:c r="N77" s="67" t="n"/>
      <x:c r="O77" s="289" t="n"/>
    </x:row>
  </x:sheetData>
  <x:mergeCells>
    <x:mergeCell ref="A1:H1"/>
    <x:mergeCell ref="E5:G7"/>
    <x:mergeCell ref="A2:H2"/>
    <x:mergeCell ref="M5:O7"/>
    <x:mergeCell ref="M4:O4"/>
    <x:mergeCell ref="I5:K7"/>
    <x:mergeCell ref="E4:G4"/>
    <x:mergeCell ref="I4:K4"/>
    <x:mergeCell ref="A75:O77"/>
    <x:mergeCell ref="A4:C4"/>
    <x:mergeCell ref="A5:C7"/>
  </x:mergeCells>
  <x:pageMargins left="0.7" right="0.7" top="0.75" bottom="0.75" header="0.3" footer="0.3"/>
  <x:drawing xmlns:r="http://schemas.openxmlformats.org/officeDocument/2006/relationships" r:id="Rbf75f5fc30204c15"/>
</x:worksheet>
</file>

<file path=xl/worksheets/sheet18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8" customWidth="1"/>
    <x:col min="2" max="2" width="24" customWidth="1"/>
    <x:col min="3" max="3" width="24" customWidth="1"/>
    <x:col min="4" max="4" width="18" customWidth="1"/>
  </x:cols>
  <x:sheetData>
    <x:row r="1" ht="34" customHeight="1">
      <x:c r="A1" s="52" t="inlineStr">
        <x:is>
          <x:t xml:space="preserve">Controles automáticos</x:t>
        </x:is>
      </x:c>
    </x:row>
    <x:row r="2" ht="30" customHeight="1">
      <x:c r="A2" s="55" t="inlineStr">
        <x:is>
          <x:t xml:space="preserve">Un estado VERDADERO indica coherencia interna; no equivale a validación externa.</x:t>
        </x:is>
      </x:c>
    </x:row>
    <x:row r="3"/>
    <x:row r="4">
      <x:c r="A4" s="64" t="inlineStr">
        <x:is>
          <x:t xml:space="preserve">Control</x:t>
        </x:is>
      </x:c>
      <x:c r="B4" s="65" t="inlineStr">
        <x:is>
          <x:t xml:space="preserve">Resultado</x:t>
        </x:is>
      </x:c>
      <x:c r="C4" s="65" t="inlineStr">
        <x:is>
          <x:t xml:space="preserve">Criterio</x:t>
        </x:is>
      </x:c>
      <x:c r="D4" s="66" t="inlineStr">
        <x:is>
          <x:t xml:space="preserve">Estado</x:t>
        </x:is>
      </x:c>
    </x:row>
    <x:row r="5">
      <x:c r="A5" s="67" t="inlineStr">
        <x:is>
          <x:t xml:space="preserve">Pesos de cartera</x:t>
        </x:is>
      </x:c>
      <x:c r="B5" s="67" t="n">
        <x:f>SUM('Parámetros'!B16,'Parámetros'!B17,'Parámetros'!B18)</x:f>
        <x:v>1</x:v>
      </x:c>
      <x:c r="C5" s="67" t="n">
        <x:f>'Trazabilidad parámetros'!B24</x:f>
        <x:v>1</x:v>
      </x:c>
      <x:c r="D5" s="67" t="b">
        <x:f>ABS(B5-C5)&lt;'Trazabilidad parámetros'!B28</x:f>
        <x:v>1</x:v>
      </x:c>
    </x:row>
    <x:row r="6">
      <x:c r="A6" s="68" t="inlineStr">
        <x:is>
          <x:t xml:space="preserve">Horizonte</x:t>
        </x:is>
      </x:c>
      <x:c r="B6" s="68" t="n">
        <x:f>'Parámetros'!B6-'Parámetros'!B5+1</x:f>
        <x:v>40</x:v>
      </x:c>
      <x:c r="C6" s="68" t="n">
        <x:f>'Trazabilidad parámetros'!B29</x:f>
        <x:v>40</x:v>
      </x:c>
      <x:c r="D6" s="68" t="b">
        <x:f>B6=C6</x:f>
        <x:v>1</x:v>
      </x:c>
    </x:row>
    <x:row r="7">
      <x:c r="A7" s="68" t="inlineStr">
        <x:is>
          <x:t xml:space="preserve">Identidad patrimonial final</x:t>
        </x:is>
      </x:c>
      <x:c r="B7" s="68" t="n">
        <x:f>'Modelo central'!P44</x:f>
        <x:v>3132093.3056161283</x:v>
      </x:c>
      <x:c r="C7" s="68" t="n">
        <x:f>'Modelo central'!E44+'Modelo central'!J44-'Modelo central'!K44-'Modelo central'!O44+'Modelo central'!H44</x:f>
        <x:v>3132093.3056161283</x:v>
      </x:c>
      <x:c r="D7" s="68" t="b">
        <x:f>ABS(B7-C7)&lt;'Trazabilidad parámetros'!B27</x:f>
        <x:v>1</x:v>
      </x:c>
    </x:row>
    <x:row r="8">
      <x:c r="A8" s="68" t="inlineStr">
        <x:is>
          <x:t xml:space="preserve">Reconciliación Excel–Python</x:t>
        </x:is>
      </x:c>
      <x:c r="B8" s="68" t="n">
        <x:f>MAX(ABS('Reconciliación'!D5),ABS('Reconciliación'!D6),ABS('Reconciliación'!D7),ABS('Reconciliación'!D8))</x:f>
        <x:v>4.656612873077393e-10</x:v>
      </x:c>
      <x:c r="C8" s="68" t="n">
        <x:f>'Trazabilidad parámetros'!B32</x:f>
        <x:v>0.05</x:v>
      </x:c>
      <x:c r="D8" s="68" t="b">
        <x:f>B8&lt;=C8</x:f>
        <x:v>1</x:v>
      </x:c>
    </x:row>
    <x:row r="9">
      <x:c r="A9" s="68" t="inlineStr">
        <x:is>
          <x:t xml:space="preserve">Reserva UCA-I</x:t>
        </x:is>
      </x:c>
      <x:c r="B9" s="68" t="n">
        <x:f>'UCA-I'!B25</x:f>
        <x:v>7906.587321857116</x:v>
      </x:c>
      <x:c r="C9" s="68" t="n">
        <x:f>'UCA-I'!C25</x:f>
        <x:v>7906.587321857116</x:v>
      </x:c>
      <x:c r="D9" s="68" t="b">
        <x:f>B9&lt;=C9</x:f>
        <x:v>1</x:v>
      </x:c>
    </x:row>
    <x:row r="10">
      <x:c r="A10" s="68" t="inlineStr">
        <x:is>
          <x:t xml:space="preserve">Patrimonio no reservado</x:t>
        </x:is>
      </x:c>
      <x:c r="B10" s="68" t="n">
        <x:f>'UCA-I'!B26/'UCA-I'!B5</x:f>
        <x:v>0.99</x:v>
      </x:c>
      <x:c r="C10" s="68" t="n">
        <x:f>'Trazabilidad parámetros'!B31</x:f>
        <x:v>0.99</x:v>
      </x:c>
      <x:c r="D10" s="68" t="b">
        <x:f>B10&gt;=C10</x:f>
        <x:v>1</x:v>
      </x:c>
    </x:row>
    <x:row r="11">
      <x:c r="A11" s="69" t="inlineStr">
        <x:is>
          <x:t xml:space="preserve">Estado S</x:t>
        </x:is>
      </x:c>
      <x:c r="B11" s="69" t="n">
        <x:f>'UCA-I'!B9</x:f>
        <x:v>0</x:v>
      </x:c>
      <x:c r="C11" s="69" t="inlineStr">
        <x:is>
          <x:t xml:space="preserve">0 o 1</x:t>
        </x:is>
      </x:c>
      <x:c r="D11" s="69" t="b">
        <x:f>OR(B11=0,B11=1)</x:f>
        <x:v>1</x:v>
      </x:c>
    </x:row>
    <x:row r="12">
      <x:c r="A12" t="str">
        <x:v>Retorno base: parámetro = trazabilidad</x:v>
      </x:c>
      <x:c r="B12" s="358" t="n">
        <x:f>'Parámetros'!$B$38</x:f>
        <x:v>0.035800000000000005</x:v>
      </x:c>
      <x:c r="C12" s="358" t="n">
        <x:f>'Trazabilidad parámetros'!$B$25</x:f>
        <x:v>0.035800000000000005</x:v>
      </x:c>
      <x:c r="D12" t="b">
        <x:f>ABS(B12-C12)&lt;0.0000000001</x:f>
        <x:v>1</x:v>
      </x:c>
    </x:row>
    <x:row r="13">
      <x:c r="A13" t="str">
        <x:v>Retorno MC medio incondicional: parámetro = trazabilidad</x:v>
      </x:c>
      <x:c r="B13" s="358" t="n">
        <x:f>'Parámetros'!$B$40</x:f>
        <x:v>0.03200625000000001</x:v>
      </x:c>
      <x:c r="C13" s="358" t="n">
        <x:f>'Trazabilidad parámetros'!$B$34</x:f>
        <x:v>0.03200625000000001</x:v>
      </x:c>
      <x:c r="D13" t="b">
        <x:f>ABS(B13-C13)&lt;0.0000000001</x:f>
        <x:v>1</x:v>
      </x:c>
    </x:row>
    <x:row r="14">
      <x:c r="A14" s="284" t="inlineStr">
        <x:is>
          <x:t xml:space="preserve">Los controles verifican aritmética, referencias, límites y reconciliación. No verifican constitucionalidad, capacidad administrativa, incidencia distributiva, comportamiento político ni adecuación actuarial.</x:t>
        </x:is>
      </x:c>
      <x:c r="B14" s="69" t="n"/>
      <x:c r="C14" s="69" t="n"/>
      <x:c r="D14" s="285" t="n"/>
    </x:row>
    <x:row r="15">
      <x:c r="A15" s="286" t="n"/>
      <x:c r="D15" s="287" t="n"/>
    </x:row>
    <x:row r="16">
      <x:c r="A16" s="286" t="n"/>
      <x:c r="D16" s="287" t="n"/>
    </x:row>
    <x:row r="17">
      <x:c r="A17" s="288" t="n"/>
      <x:c r="B17" s="67" t="n"/>
      <x:c r="C17" s="67" t="n"/>
      <x:c r="D17" s="289" t="n"/>
    </x:row>
  </x:sheetData>
  <x:mergeCells>
    <x:mergeCell ref="A14:D17"/>
    <x:mergeCell ref="A2:H2"/>
    <x:mergeCell ref="A1:H1"/>
  </x:mergeCells>
  <x:conditionalFormatting sqref="D5:D11">
    <x:cfRule type="cellIs" dxfId="0" priority="1" operator="equal">
      <x:formula>TRUE</x:formula>
    </x:cfRule>
    <x:cfRule type="cellIs" dxfId="1" priority="2" operator="equal">
      <x:formula>FALSE</x:formula>
    </x:cfRule>
  </x:conditionalFormatting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0" customWidth="1"/>
    <x:col min="2" max="2" width="16" customWidth="1"/>
    <x:col min="3" max="3" width="18" customWidth="1"/>
    <x:col min="4" max="4" width="23" customWidth="1"/>
    <x:col min="5" max="5" width="42" customWidth="1"/>
    <x:col min="6" max="6" width="34" customWidth="1"/>
    <x:col min="7" max="7" width="28" customWidth="1"/>
    <x:col min="8" max="8" width="46" customWidth="1"/>
  </x:cols>
  <x:sheetData>
    <x:row r="1" ht="28" customHeight="1">
      <x:c r="A1" s="253" t="inlineStr">
        <x:is>
          <x:t xml:space="preserve">Trazabilidad de parámetros y fórmulas derivadas</x:t>
        </x:is>
      </x:c>
    </x:row>
    <x:row r="2" ht="32" customHeight="1">
      <x:c r="A2" s="256" t="inlineStr">
        <x:is>
          <x:t xml:space="preserve">Los valores de escenario no se presentan como datos observados. Esta hoja distingue entradas, reglas normativas y magnitudes derivadas.</x:t>
        </x:is>
      </x:c>
    </x:row>
    <x:row r="3"/>
    <x:row r="4" ht="34" customHeight="1">
      <x:c r="A4" s="259" t="inlineStr">
        <x:is>
          <x:t xml:space="preserve">Clave o magnitud</x:t>
        </x:is>
      </x:c>
      <x:c r="B4" s="259" t="inlineStr">
        <x:is>
          <x:t xml:space="preserve">Valor central</x:t>
        </x:is>
      </x:c>
      <x:c r="C4" s="259" t="inlineStr">
        <x:is>
          <x:t xml:space="preserve">Unidad</x:t>
        </x:is>
      </x:c>
      <x:c r="D4" s="259" t="inlineStr">
        <x:is>
          <x:t xml:space="preserve">Clase</x:t>
        </x:is>
      </x:c>
      <x:c r="E4" s="259" t="inlineStr">
        <x:is>
          <x:t xml:space="preserve">Derivación o fórmula</x:t>
        </x:is>
      </x:c>
      <x:c r="F4" s="259" t="inlineStr">
        <x:is>
          <x:t xml:space="preserve">Fuente o criterio</x:t>
        </x:is>
      </x:c>
      <x:c r="G4" s="259" t="inlineStr">
        <x:is>
          <x:t xml:space="preserve">Estado de evidencia</x:t>
        </x:is>
      </x:c>
      <x:c r="H4" s="259" t="inlineStr">
        <x:is>
          <x:t xml:space="preserve">Acción antes del depósito</x:t>
        </x:is>
      </x:c>
    </x:row>
    <x:row r="5" ht="15" customHeight="1">
      <x:c r="A5" s="262" t="inlineStr">
        <x:is>
          <x:t xml:space="preserve">anio_inicial</x:t>
        </x:is>
      </x:c>
      <x:c r="B5" s="263" t="n">
        <x:f>'Parámetros'!B5</x:f>
        <x:v>2026</x:v>
      </x:c>
      <x:c r="C5" s="262" t="inlineStr">
        <x:is>
          <x:t xml:space="preserve">año</x:t>
        </x:is>
      </x:c>
      <x:c r="D5" s="262" t="inlineStr">
        <x:is>
          <x:t xml:space="preserve">Convención</x:t>
        </x:is>
      </x:c>
      <x:c r="E5" s="262" t="inlineStr">
        <x:is>
          <x:t xml:space="preserve">Referencia directa a Parámetros</x:t>
        </x:is>
      </x:c>
      <x:c r="F5" s="262" t="inlineStr">
        <x:is>
          <x:t xml:space="preserve">Horizonte del prototipo</x:t>
        </x:is>
      </x:c>
      <x:c r="G5" s="262" t="inlineStr">
        <x:is>
          <x:t xml:space="preserve">Definido</x:t>
        </x:is>
      </x:c>
      <x:c r="H5" s="262" t="inlineStr">
        <x:is>
          <x:t xml:space="preserve">Confirmar horizonte con tutor</x:t>
        </x:is>
      </x:c>
    </x:row>
    <x:row r="6" ht="15" customHeight="1">
      <x:c r="A6" s="262" t="inlineStr">
        <x:is>
          <x:t xml:space="preserve">anio_final</x:t>
        </x:is>
      </x:c>
      <x:c r="B6" s="263" t="n">
        <x:f>'Parámetros'!B6</x:f>
        <x:v>2065</x:v>
      </x:c>
      <x:c r="C6" s="262" t="inlineStr">
        <x:is>
          <x:t xml:space="preserve">año</x:t>
        </x:is>
      </x:c>
      <x:c r="D6" s="262" t="inlineStr">
        <x:is>
          <x:t xml:space="preserve">Convención</x:t>
        </x:is>
      </x:c>
      <x:c r="E6" s="262" t="inlineStr">
        <x:is>
          <x:t xml:space="preserve">Referencia directa a Parámetros</x:t>
        </x:is>
      </x:c>
      <x:c r="F6" s="262" t="inlineStr">
        <x:is>
          <x:t xml:space="preserve">Horizonte del prototipo</x:t>
        </x:is>
      </x:c>
      <x:c r="G6" s="262" t="inlineStr">
        <x:is>
          <x:t xml:space="preserve">Definido</x:t>
        </x:is>
      </x:c>
      <x:c r="H6" s="262" t="inlineStr">
        <x:is>
          <x:t xml:space="preserve">Confirmar horizonte con tutor</x:t>
        </x:is>
      </x:c>
    </x:row>
    <x:row r="7" ht="26.399999618530273" customHeight="1">
      <x:c r="A7" s="262" t="inlineStr">
        <x:is>
          <x:t xml:space="preserve">masa_cotizaciones_mill_eur</x:t>
        </x:is>
      </x:c>
      <x:c r="B7" s="336" t="n">
        <x:f>'Parámetros'!B7</x:f>
        <x:v>2200000</x:v>
      </x:c>
      <x:c r="C7" s="262" t="inlineStr">
        <x:is>
          <x:t xml:space="preserve">M€ reales</x:t>
        </x:is>
      </x:c>
      <x:c r="D7" s="262" t="inlineStr">
        <x:is>
          <x:t xml:space="preserve">Base estilizada</x:t>
        </x:is>
      </x:c>
      <x:c r="E7" s="262" t="inlineStr">
        <x:is>
          <x:t xml:space="preserve">Entrada exógena; no se deduce del modelo</x:t>
        </x:is>
      </x:c>
      <x:c r="F7" s="262" t="inlineStr">
        <x:is>
          <x:t xml:space="preserve">Calibración de escala</x:t>
        </x:is>
      </x:c>
      <x:c r="G7" s="262" t="inlineStr">
        <x:is>
          <x:t xml:space="preserve">No estimado empíricamente</x:t>
        </x:is>
      </x:c>
      <x:c r="H7" s="262" t="inlineStr">
        <x:is>
          <x:t xml:space="preserve">Sustituir por estimación documentada o mantener como ejercicio estilizado</x:t>
        </x:is>
      </x:c>
    </x:row>
    <x:row r="8" ht="15" customHeight="1">
      <x:c r="A8" s="262" t="inlineStr">
        <x:is>
          <x:t xml:space="preserve">estados_referencia</x:t>
        </x:is>
      </x:c>
      <x:c r="B8" s="263" t="n">
        <x:f>'Parámetros'!B8</x:f>
        <x:v>12</x:v>
      </x:c>
      <x:c r="C8" s="262" t="inlineStr">
        <x:is>
          <x:t xml:space="preserve">número</x:t>
        </x:is>
      </x:c>
      <x:c r="D8" s="262" t="inlineStr">
        <x:is>
          <x:t xml:space="preserve">Normalizador</x:t>
        </x:is>
      </x:c>
      <x:c r="E8" s="262" t="inlineStr">
        <x:is>
          <x:t xml:space="preserve">Entrada exógena</x:t>
        </x:is>
      </x:c>
      <x:c r="F8" s="262" t="inlineStr">
        <x:is>
          <x:t xml:space="preserve">Diseño del escenario</x:t>
        </x:is>
      </x:c>
      <x:c r="G8" s="262" t="inlineStr">
        <x:is>
          <x:t xml:space="preserve">Ilustrativo</x:t>
        </x:is>
      </x:c>
      <x:c r="H8" s="262" t="inlineStr">
        <x:is>
          <x:t xml:space="preserve">Justificar selección</x:t>
        </x:is>
      </x:c>
    </x:row>
    <x:row r="9" ht="15" customHeight="1">
      <x:c r="A9" s="262" t="inlineStr">
        <x:is>
          <x:t xml:space="preserve">estados_participantes</x:t>
        </x:is>
      </x:c>
      <x:c r="B9" s="263" t="n">
        <x:f>'Parámetros'!B9</x:f>
        <x:v>12</x:v>
      </x:c>
      <x:c r="C9" s="262" t="inlineStr">
        <x:is>
          <x:t xml:space="preserve">número</x:t>
        </x:is>
      </x:c>
      <x:c r="D9" s="262" t="inlineStr">
        <x:is>
          <x:t xml:space="preserve">Escenario</x:t>
        </x:is>
      </x:c>
      <x:c r="E9" s="262" t="inlineStr">
        <x:is>
          <x:t xml:space="preserve">Entrada exógena</x:t>
        </x:is>
      </x:c>
      <x:c r="F9" s="262" t="inlineStr">
        <x:is>
          <x:t xml:space="preserve">Diseño del escenario</x:t>
        </x:is>
      </x:c>
      <x:c r="G9" s="262" t="inlineStr">
        <x:is>
          <x:t xml:space="preserve">Ilustrativo</x:t>
        </x:is>
      </x:c>
      <x:c r="H9" s="262" t="inlineStr">
        <x:is>
          <x:t xml:space="preserve">No interpretar como adhesiones previstas</x:t>
        </x:is>
      </x:c>
    </x:row>
    <x:row r="10" ht="15" customHeight="1">
      <x:c r="A10" s="262" t="inlineStr">
        <x:is>
          <x:t xml:space="preserve">crecimiento_real_aportaciones</x:t>
        </x:is>
      </x:c>
      <x:c r="B10" s="337" t="n">
        <x:f>'Parámetros'!B10</x:f>
        <x:v>0.008</x:v>
      </x:c>
      <x:c r="C10" s="262" t="inlineStr">
        <x:is>
          <x:t xml:space="preserve">% anual</x:t>
        </x:is>
      </x:c>
      <x:c r="D10" s="262" t="inlineStr">
        <x:is>
          <x:t xml:space="preserve">Escenario</x:t>
        </x:is>
      </x:c>
      <x:c r="E10" s="262" t="inlineStr">
        <x:is>
          <x:t xml:space="preserve">Entrada exógena</x:t>
        </x:is>
      </x:c>
      <x:c r="F10" s="262" t="inlineStr">
        <x:is>
          <x:t xml:space="preserve">Hipótesis de senda real</x:t>
        </x:is>
      </x:c>
      <x:c r="G10" s="262" t="inlineStr">
        <x:is>
          <x:t xml:space="preserve">No estimado</x:t>
        </x:is>
      </x:c>
      <x:c r="H10" s="262" t="inlineStr">
        <x:is>
          <x:t xml:space="preserve">Contrastar con series y sensibilidad</x:t>
        </x:is>
      </x:c>
    </x:row>
    <x:row r="11" ht="26.399999618530273" customHeight="1">
      <x:c r="A11" s="262" t="inlineStr">
        <x:is>
          <x:t xml:space="preserve">coste_administracion</x:t>
        </x:is>
      </x:c>
      <x:c r="B11" s="337" t="n">
        <x:f>'Parámetros'!B11</x:f>
        <x:v>0.0018</x:v>
      </x:c>
      <x:c r="C11" s="262" t="inlineStr">
        <x:is>
          <x:t xml:space="preserve">% del patrimonio</x:t>
        </x:is>
      </x:c>
      <x:c r="D11" s="262" t="inlineStr">
        <x:is>
          <x:t xml:space="preserve">Escenario</x:t>
        </x:is>
      </x:c>
      <x:c r="E11" s="262" t="inlineStr">
        <x:is>
          <x:t xml:space="preserve">Entrada exógena; no existe una cifra exacta deducible sin presupuesto operativo</x:t>
        </x:is>
      </x:c>
      <x:c r="F11" s="262" t="inlineStr">
        <x:is>
          <x:t xml:space="preserve">Calibración central</x:t>
        </x:is>
      </x:c>
      <x:c r="G11" s="262" t="inlineStr">
        <x:is>
          <x:t xml:space="preserve">No estimado</x:t>
        </x:is>
      </x:c>
      <x:c r="H11" s="262" t="inlineStr">
        <x:is>
          <x:t xml:space="preserve">Descomponer con ofertas/costes verificables antes de una aplicación</x:t>
        </x:is>
      </x:c>
    </x:row>
    <x:row r="12" ht="15" customHeight="1">
      <x:c r="A12" s="262" t="inlineStr">
        <x:is>
          <x:t xml:space="preserve">carencia_anios</x:t>
        </x:is>
      </x:c>
      <x:c r="B12" s="338" t="n">
        <x:f>'Parámetros'!B12</x:f>
        <x:v>18</x:v>
      </x:c>
      <x:c r="C12" s="262" t="inlineStr">
        <x:is>
          <x:t xml:space="preserve">años</x:t>
        </x:is>
      </x:c>
      <x:c r="D12" s="262" t="inlineStr">
        <x:is>
          <x:t xml:space="preserve">Regla propuesta</x:t>
        </x:is>
      </x:c>
      <x:c r="E12" s="262" t="inlineStr">
        <x:is>
          <x:t xml:space="preserve">Entrada normativa</x:t>
        </x:is>
      </x:c>
      <x:c r="F12" s="262" t="inlineStr">
        <x:is>
          <x:t xml:space="preserve">Diseño prudencial</x:t>
        </x:is>
      </x:c>
      <x:c r="G12" s="262" t="inlineStr">
        <x:is>
          <x:t xml:space="preserve">No optimizado</x:t>
        </x:is>
      </x:c>
      <x:c r="H12" s="262" t="inlineStr">
        <x:is>
          <x:t xml:space="preserve">Someter a prueba actuarial</x:t>
        </x:is>
      </x:c>
    </x:row>
    <x:row r="13" ht="15" customHeight="1">
      <x:c r="A13" s="262" t="inlineStr">
        <x:is>
          <x:t xml:space="preserve">tasa_distribucion_objetivo</x:t>
        </x:is>
      </x:c>
      <x:c r="B13" s="337" t="n">
        <x:f>'Parámetros'!B13</x:f>
        <x:v>0.015</x:v>
      </x:c>
      <x:c r="C13" s="262" t="inlineStr">
        <x:is>
          <x:t xml:space="preserve">% NAV suavizado</x:t>
        </x:is>
      </x:c>
      <x:c r="D13" s="262" t="inlineStr">
        <x:is>
          <x:t xml:space="preserve">Regla propuesta</x:t>
        </x:is>
      </x:c>
      <x:c r="E13" s="262" t="inlineStr">
        <x:is>
          <x:t xml:space="preserve">Entrada normativa</x:t>
        </x:is>
      </x:c>
      <x:c r="F13" s="262" t="inlineStr">
        <x:is>
          <x:t xml:space="preserve">Diseño distributivo</x:t>
        </x:is>
      </x:c>
      <x:c r="G13" s="262" t="inlineStr">
        <x:is>
          <x:t xml:space="preserve">No validado actuarialmente</x:t>
        </x:is>
      </x:c>
      <x:c r="H13" s="262" t="inlineStr">
        <x:is>
          <x:t xml:space="preserve">Descomponer con presupuesto operativo verificable; no inventar una fórmula ex post</x:t>
        </x:is>
      </x:c>
    </x:row>
    <x:row r="14" ht="15" customHeight="1">
      <x:c r="A14" s="262" t="inlineStr">
        <x:is>
          <x:t xml:space="preserve">ventana_suavizado</x:t>
        </x:is>
      </x:c>
      <x:c r="B14" s="338" t="n">
        <x:f>'Parámetros'!B14</x:f>
        <x:v>5</x:v>
      </x:c>
      <x:c r="C14" s="262" t="inlineStr">
        <x:is>
          <x:t xml:space="preserve">años</x:t>
        </x:is>
      </x:c>
      <x:c r="D14" s="262" t="inlineStr">
        <x:is>
          <x:t xml:space="preserve">Regla propuesta</x:t>
        </x:is>
      </x:c>
      <x:c r="E14" s="262" t="inlineStr">
        <x:is>
          <x:t xml:space="preserve">Entrada normativa</x:t>
        </x:is>
      </x:c>
      <x:c r="F14" s="262" t="inlineStr">
        <x:is>
          <x:t xml:space="preserve">Reducción de prociclicidad</x:t>
        </x:is>
      </x:c>
      <x:c r="G14" s="262" t="inlineStr">
        <x:is>
          <x:t xml:space="preserve">No optimizada</x:t>
        </x:is>
      </x:c>
      <x:c r="H14" s="262" t="inlineStr">
        <x:is>
          <x:t xml:space="preserve">Comparar ventanas alternativas</x:t>
        </x:is>
      </x:c>
    </x:row>
    <x:row r="15" ht="15" customHeight="1">
      <x:c r="A15" s="262" t="inlineStr">
        <x:is>
          <x:t xml:space="preserve">suelo_preservacion</x:t>
        </x:is>
      </x:c>
      <x:c r="B15" s="337" t="n">
        <x:f>'Parámetros'!B15</x:f>
        <x:v>0.9</x:v>
      </x:c>
      <x:c r="C15" s="262" t="inlineStr">
        <x:is>
          <x:t xml:space="preserve">% aportaciones netas</x:t>
        </x:is>
      </x:c>
      <x:c r="D15" s="262" t="inlineStr">
        <x:is>
          <x:t xml:space="preserve">Regla propuesta</x:t>
        </x:is>
      </x:c>
      <x:c r="E15" s="262" t="inlineStr">
        <x:is>
          <x:t xml:space="preserve">Entrada normativa</x:t>
        </x:is>
      </x:c>
      <x:c r="F15" s="262" t="inlineStr">
        <x:is>
          <x:t xml:space="preserve">Límite interno</x:t>
        </x:is>
      </x:c>
      <x:c r="G15" s="262" t="inlineStr">
        <x:is>
          <x:t xml:space="preserve">No equivale a garantía</x:t>
        </x:is>
      </x:c>
      <x:c r="H15" s="262" t="inlineStr">
        <x:is>
          <x:t xml:space="preserve">Precisar definición jurídica y actuarial</x:t>
        </x:is>
      </x:c>
    </x:row>
    <x:row r="16" ht="15" customHeight="1">
      <x:c r="A16" s="262" t="inlineStr">
        <x:is>
          <x:t xml:space="preserve">peso_renta_variable</x:t>
        </x:is>
      </x:c>
      <x:c r="B16" s="337" t="n">
        <x:f>'Parámetros'!B16</x:f>
        <x:v>0.65</x:v>
      </x:c>
      <x:c r="C16" s="262" t="inlineStr">
        <x:is>
          <x:t xml:space="preserve">% cartera</x:t>
        </x:is>
      </x:c>
      <x:c r="D16" s="262" t="inlineStr">
        <x:is>
          <x:t xml:space="preserve">Asignación de escenario</x:t>
        </x:is>
      </x:c>
      <x:c r="E16" s="262" t="inlineStr">
        <x:is>
          <x:t xml:space="preserve">Entrada exógena</x:t>
        </x:is>
      </x:c>
      <x:c r="F16" s="262" t="inlineStr">
        <x:is>
          <x:t xml:space="preserve">Cartera 65/25/10</x:t>
        </x:is>
      </x:c>
      <x:c r="G16" s="262" t="inlineStr">
        <x:is>
          <x:t xml:space="preserve">Ilustrativo</x:t>
        </x:is>
      </x:c>
      <x:c r="H16" s="262" t="inlineStr">
        <x:is>
          <x:t xml:space="preserve">Evaluar política de inversión</x:t>
        </x:is>
      </x:c>
    </x:row>
    <x:row r="17" ht="15" customHeight="1">
      <x:c r="A17" s="262" t="inlineStr">
        <x:is>
          <x:t xml:space="preserve">peso_bonos</x:t>
        </x:is>
      </x:c>
      <x:c r="B17" s="337" t="n">
        <x:f>'Parámetros'!B17</x:f>
        <x:v>0.25</x:v>
      </x:c>
      <x:c r="C17" s="262" t="inlineStr">
        <x:is>
          <x:t xml:space="preserve">% cartera</x:t>
        </x:is>
      </x:c>
      <x:c r="D17" s="262" t="inlineStr">
        <x:is>
          <x:t xml:space="preserve">Asignación de escenario</x:t>
        </x:is>
      </x:c>
      <x:c r="E17" s="262" t="inlineStr">
        <x:is>
          <x:t xml:space="preserve">Entrada exógena</x:t>
        </x:is>
      </x:c>
      <x:c r="F17" s="262" t="inlineStr">
        <x:is>
          <x:t xml:space="preserve">Cartera 65/25/10</x:t>
        </x:is>
      </x:c>
      <x:c r="G17" s="262" t="inlineStr">
        <x:is>
          <x:t xml:space="preserve">Ilustrativo</x:t>
        </x:is>
      </x:c>
      <x:c r="H17" s="262" t="inlineStr">
        <x:is>
          <x:t xml:space="preserve">Evaluar política de inversión</x:t>
        </x:is>
      </x:c>
    </x:row>
    <x:row r="18" ht="15" customHeight="1">
      <x:c r="A18" s="262" t="inlineStr">
        <x:is>
          <x:t xml:space="preserve">peso_liquidez</x:t>
        </x:is>
      </x:c>
      <x:c r="B18" s="337" t="n">
        <x:f>'Parámetros'!B18</x:f>
        <x:v>0.1</x:v>
      </x:c>
      <x:c r="C18" s="262" t="inlineStr">
        <x:is>
          <x:t xml:space="preserve">% cartera</x:t>
        </x:is>
      </x:c>
      <x:c r="D18" s="262" t="inlineStr">
        <x:is>
          <x:t xml:space="preserve">Asignación de escenario</x:t>
        </x:is>
      </x:c>
      <x:c r="E18" s="262" t="inlineStr">
        <x:is>
          <x:t xml:space="preserve">Entrada exógena</x:t>
        </x:is>
      </x:c>
      <x:c r="F18" s="262" t="inlineStr">
        <x:is>
          <x:t xml:space="preserve">Cartera 65/25/10</x:t>
        </x:is>
      </x:c>
      <x:c r="G18" s="262" t="inlineStr">
        <x:is>
          <x:t xml:space="preserve">Ilustrativo</x:t>
        </x:is>
      </x:c>
      <x:c r="H18" s="262" t="inlineStr">
        <x:is>
          <x:t xml:space="preserve">Evaluar política de inversión</x:t>
        </x:is>
      </x:c>
    </x:row>
    <x:row r="19" ht="15" customHeight="1">
      <x:c r="A19" s="262" t="inlineStr">
        <x:is>
          <x:t xml:space="preserve">retorno_real_rv</x:t>
        </x:is>
      </x:c>
      <x:c r="B19" s="337" t="n">
        <x:f>'Parámetros'!B19</x:f>
        <x:v>0.05</x:v>
      </x:c>
      <x:c r="C19" s="262" t="inlineStr">
        <x:is>
          <x:t xml:space="preserve">% anual</x:t>
        </x:is>
      </x:c>
      <x:c r="D19" s="262" t="inlineStr">
        <x:is>
          <x:t xml:space="preserve">Escenario</x:t>
        </x:is>
      </x:c>
      <x:c r="E19" s="262" t="inlineStr">
        <x:is>
          <x:t xml:space="preserve">Entrada exógena</x:t>
        </x:is>
      </x:c>
      <x:c r="F19" s="262" t="inlineStr">
        <x:is>
          <x:t xml:space="preserve">Hipótesis condicional</x:t>
        </x:is>
      </x:c>
      <x:c r="G19" s="262" t="inlineStr">
        <x:is>
          <x:t xml:space="preserve">No es previsión</x:t>
        </x:is>
      </x:c>
      <x:c r="H19" s="262" t="inlineStr">
        <x:is>
          <x:t xml:space="preserve">Documentar ventana histórica y sensibilidad</x:t>
        </x:is>
      </x:c>
    </x:row>
    <x:row r="20" ht="15" customHeight="1">
      <x:c r="A20" s="262" t="inlineStr">
        <x:is>
          <x:t xml:space="preserve">retorno_real_bonos</x:t>
        </x:is>
      </x:c>
      <x:c r="B20" s="337" t="n">
        <x:f>'Parámetros'!B20</x:f>
        <x:v>0.012</x:v>
      </x:c>
      <x:c r="C20" s="262" t="inlineStr">
        <x:is>
          <x:t xml:space="preserve">% anual</x:t>
        </x:is>
      </x:c>
      <x:c r="D20" s="262" t="inlineStr">
        <x:is>
          <x:t xml:space="preserve">Escenario</x:t>
        </x:is>
      </x:c>
      <x:c r="E20" s="262" t="inlineStr">
        <x:is>
          <x:t xml:space="preserve">Entrada exógena</x:t>
        </x:is>
      </x:c>
      <x:c r="F20" s="262" t="inlineStr">
        <x:is>
          <x:t xml:space="preserve">Hipótesis condicional</x:t>
        </x:is>
      </x:c>
      <x:c r="G20" s="262" t="inlineStr">
        <x:is>
          <x:t xml:space="preserve">No es previsión</x:t>
        </x:is>
      </x:c>
      <x:c r="H20" s="262" t="inlineStr">
        <x:is>
          <x:t xml:space="preserve">Documentar ventana histórica y sensibilidad</x:t>
        </x:is>
      </x:c>
    </x:row>
    <x:row r="21" ht="15" customHeight="1">
      <x:c r="A21" s="262" t="inlineStr">
        <x:is>
          <x:t xml:space="preserve">retorno_real_liquidez</x:t>
        </x:is>
      </x:c>
      <x:c r="B21" s="337" t="n">
        <x:f>'Parámetros'!B21</x:f>
        <x:v>0.003</x:v>
      </x:c>
      <x:c r="C21" s="262" t="inlineStr">
        <x:is>
          <x:t xml:space="preserve">% anual</x:t>
        </x:is>
      </x:c>
      <x:c r="D21" s="262" t="inlineStr">
        <x:is>
          <x:t xml:space="preserve">Escenario</x:t>
        </x:is>
      </x:c>
      <x:c r="E21" s="262" t="inlineStr">
        <x:is>
          <x:t xml:space="preserve">Entrada exógena</x:t>
        </x:is>
      </x:c>
      <x:c r="F21" s="262" t="inlineStr">
        <x:is>
          <x:t xml:space="preserve">Hipótesis condicional</x:t>
        </x:is>
      </x:c>
      <x:c r="G21" s="262" t="inlineStr">
        <x:is>
          <x:t xml:space="preserve">No es previsión</x:t>
        </x:is>
      </x:c>
      <x:c r="H21" s="262" t="inlineStr">
        <x:is>
          <x:t xml:space="preserve">Documentar ventana histórica y sensibilidad</x:t>
        </x:is>
      </x:c>
    </x:row>
    <x:row r="22" ht="15" customHeight="1">
      <x:c r="A22" s="262" t="inlineStr">
        <x:is>
          <x:t xml:space="preserve">semilla</x:t>
        </x:is>
      </x:c>
      <x:c r="B22" s="338" t="n">
        <x:f>'Parámetros'!B22</x:f>
        <x:v>2026</x:v>
      </x:c>
      <x:c r="C22" s="262" t="inlineStr">
        <x:is>
          <x:t xml:space="preserve">entero</x:t>
        </x:is>
      </x:c>
      <x:c r="D22" s="262" t="inlineStr">
        <x:is>
          <x:t xml:space="preserve">Reproducibilidad</x:t>
        </x:is>
      </x:c>
      <x:c r="E22" s="262" t="inlineStr">
        <x:is>
          <x:t xml:space="preserve">Entrada técnica</x:t>
        </x:is>
      </x:c>
      <x:c r="F22" s="262" t="inlineStr">
        <x:is>
          <x:t xml:space="preserve">Ejecución Monte Carlo</x:t>
        </x:is>
      </x:c>
      <x:c r="G22" s="262" t="inlineStr">
        <x:is>
          <x:t xml:space="preserve">Definido</x:t>
        </x:is>
      </x:c>
      <x:c r="H22" s="262" t="inlineStr">
        <x:is>
          <x:t xml:space="preserve">Conservar</x:t>
        </x:is>
      </x:c>
    </x:row>
    <x:row r="23" ht="15" customHeight="1">
      <x:c r="A23" s="262" t="inlineStr">
        <x:is>
          <x:t xml:space="preserve">simulaciones</x:t>
        </x:is>
      </x:c>
      <x:c r="B23" s="339" t="n">
        <x:f>'Parámetros'!B23</x:f>
        <x:v>100000</x:v>
      </x:c>
      <x:c r="C23" s="262" t="inlineStr">
        <x:is>
          <x:t xml:space="preserve">trayectorias</x:t>
        </x:is>
      </x:c>
      <x:c r="D23" s="262" t="inlineStr">
        <x:is>
          <x:t xml:space="preserve">Precisión numérica</x:t>
        </x:is>
      </x:c>
      <x:c r="E23" s="262" t="inlineStr">
        <x:is>
          <x:t xml:space="preserve">Entrada técnica</x:t>
        </x:is>
      </x:c>
      <x:c r="F23" s="262" t="inlineStr">
        <x:is>
          <x:t xml:space="preserve">Ejecución Monte Carlo</x:t>
        </x:is>
      </x:c>
      <x:c r="G23" s="262" t="inlineStr">
        <x:is>
          <x:t xml:space="preserve">Definido</x:t>
        </x:is>
      </x:c>
      <x:c r="H23" s="262" t="inlineStr">
        <x:is>
          <x:t xml:space="preserve">Conservar y publicar error Monte Carlo</x:t>
        </x:is>
      </x:c>
    </x:row>
    <x:row r="24" ht="15" customHeight="1">
      <x:c r="A24" s="262" t="inlineStr">
        <x:is>
          <x:t xml:space="preserve">Suma de pesos</x:t>
        </x:is>
      </x:c>
      <x:c r="B24" s="340" t="n">
        <x:f>SUM(B16:B18)</x:f>
        <x:v>1</x:v>
      </x:c>
      <x:c r="C24" s="262" t="inlineStr">
        <x:is>
          <x:t xml:space="preserve">% cartera</x:t>
        </x:is>
      </x:c>
      <x:c r="D24" s="262" t="inlineStr">
        <x:is>
          <x:t xml:space="preserve">Magnitud derivada</x:t>
        </x:is>
      </x:c>
      <x:c r="E24" s="262" t="inlineStr">
        <x:is>
          <x:t xml:space="preserve">wRV + wBonos + wLiquidez</x:t>
        </x:is>
      </x:c>
      <x:c r="F24" s="262" t="inlineStr">
        <x:is>
          <x:t xml:space="preserve">Control interno</x:t>
        </x:is>
      </x:c>
      <x:c r="G24" s="262" t="inlineStr">
        <x:is>
          <x:t xml:space="preserve">Calculado</x:t>
        </x:is>
      </x:c>
      <x:c r="H24" s="262" t="inlineStr">
        <x:is>
          <x:t xml:space="preserve">Debe ser 100 %</x:t>
        </x:is>
      </x:c>
    </x:row>
    <x:row r="25" ht="15" customHeight="1">
      <x:c r="A25" s="262" t="str">
        <x:v>Retorno real bruto de cartera base (sin crisis)</x:v>
      </x:c>
      <x:c r="B25" s="340" t="n">
        <x:f>B16*B19+B17*B20+B18*B21</x:f>
        <x:v>0.035800000000000005</x:v>
      </x:c>
      <x:c r="C25" s="262" t="inlineStr">
        <x:is>
          <x:t xml:space="preserve">% anual</x:t>
        </x:is>
      </x:c>
      <x:c r="D25" s="262" t="inlineStr">
        <x:is>
          <x:t xml:space="preserve">Magnitud derivada</x:t>
        </x:is>
      </x:c>
      <x:c r="E25" s="262" t="inlineStr">
        <x:is>
          <x:t xml:space="preserve">wRV·rRV + wBonos·rBonos + wLiq·rLiq</x:t>
        </x:is>
      </x:c>
      <x:c r="F25" s="262" t="str">
        <x:v>Combinación lineal condicionada sin régimen de crisis</x:v>
      </x:c>
      <x:c r="G25" s="262" t="str">
        <x:v>Calculado</x:v>
      </x:c>
      <x:c r="H25" s="262" t="str">
        <x:v>No interpretar como media incondicional del Monte Carlo</x:v>
      </x:c>
    </x:row>
    <x:row r="26" ht="15" customHeight="1">
      <x:c r="A26" s="262" t="str">
        <x:v>Retorno real neto de cartera base (sin crisis)</x:v>
      </x:c>
      <x:c r="B26" s="340" t="n">
        <x:f>B25-B11</x:f>
        <x:v>0.034</x:v>
      </x:c>
      <x:c r="C26" s="262" t="inlineStr">
        <x:is>
          <x:t xml:space="preserve">% anual</x:t>
        </x:is>
      </x:c>
      <x:c r="D26" s="262" t="inlineStr">
        <x:is>
          <x:t xml:space="preserve">Magnitud derivada</x:t>
        </x:is>
      </x:c>
      <x:c r="E26" s="262" t="inlineStr">
        <x:is>
          <x:t xml:space="preserve">Rentabilidad bruta − coste</x:t>
        </x:is>
      </x:c>
      <x:c r="F26" s="262" t="str">
        <x:v>Retorno base menos coste</x:v>
      </x:c>
      <x:c r="G26" s="262" t="str">
        <x:v>Calculado</x:v>
      </x:c>
      <x:c r="H26" s="262" t="str">
        <x:v>No incorpora el desplazamiento medio del régimen de crisis</x:v>
      </x:c>
    </x:row>
    <x:row r="27" ht="15" customHeight="1">
      <x:c r="A27" s="262" t="str">
        <x:v>tolerancia_uca_i_mill_eur</x:v>
      </x:c>
      <x:c r="B27" s="341" t="n">
        <x:v>0.01</x:v>
      </x:c>
      <x:c r="C27" s="262" t="str">
        <x:v>M€</x:v>
      </x:c>
      <x:c r="D27" s="262" t="str">
        <x:v>Control numérico</x:v>
      </x:c>
      <x:c r="E27" s="262" t="str">
        <x:v>Umbral explícito</x:v>
      </x:c>
      <x:c r="F27" s="262" t="str">
        <x:v>Redondeo de conciliación UCA-I</x:v>
      </x:c>
      <x:c r="G27" s="262" t="str">
        <x:v>Definido</x:v>
      </x:c>
      <x:c r="H27" s="262" t="str">
        <x:v>No interpretar como materialidad contable</x:v>
      </x:c>
    </x:row>
    <x:row r="28" ht="15" customHeight="1">
      <x:c r="A28" s="262" t="inlineStr">
        <x:is>
          <x:t xml:space="preserve">tolerancia_pesos</x:t>
        </x:is>
      </x:c>
      <x:c r="B28" s="342" t="n">
        <x:v>1e-07</x:v>
      </x:c>
      <x:c r="C28" s="262" t="inlineStr">
        <x:is>
          <x:t xml:space="preserve">proporción</x:t>
        </x:is>
      </x:c>
      <x:c r="D28" s="262" t="inlineStr">
        <x:is>
          <x:t xml:space="preserve">Control numérico</x:t>
        </x:is>
      </x:c>
      <x:c r="E28" s="262" t="inlineStr">
        <x:is>
          <x:t xml:space="preserve">Umbral explícito</x:t>
        </x:is>
      </x:c>
      <x:c r="F28" s="262" t="inlineStr">
        <x:is>
          <x:t xml:space="preserve">Error de suma de pesos</x:t>
        </x:is>
      </x:c>
      <x:c r="G28" s="262" t="inlineStr">
        <x:is>
          <x:t xml:space="preserve">Definido</x:t>
        </x:is>
      </x:c>
      <x:c r="H28" s="262" t="inlineStr">
        <x:is>
          <x:t xml:space="preserve">Conservar como tolerancia técnica</x:t>
        </x:is>
      </x:c>
    </x:row>
    <x:row r="29" ht="15" customHeight="1">
      <x:c r="A29" s="262" t="inlineStr">
        <x:is>
          <x:t xml:space="preserve">numero_periodos</x:t>
        </x:is>
      </x:c>
      <x:c r="B29" s="343" t="n">
        <x:f>B6-B5+1</x:f>
        <x:v>40</x:v>
      </x:c>
      <x:c r="C29" s="262" t="inlineStr">
        <x:is>
          <x:t xml:space="preserve">años</x:t>
        </x:is>
      </x:c>
      <x:c r="D29" s="262" t="inlineStr">
        <x:is>
          <x:t xml:space="preserve">Magnitud derivada</x:t>
        </x:is>
      </x:c>
      <x:c r="E29" s="262" t="inlineStr">
        <x:is>
          <x:t xml:space="preserve">año final − año inicial + 1</x:t>
        </x:is>
      </x:c>
      <x:c r="F29" s="262" t="inlineStr">
        <x:is>
          <x:t xml:space="preserve">Control de horizonte</x:t>
        </x:is>
      </x:c>
      <x:c r="G29" s="262" t="inlineStr">
        <x:is>
          <x:t xml:space="preserve">Calculado</x:t>
        </x:is>
      </x:c>
      <x:c r="H29" s="262" t="inlineStr">
        <x:is>
          <x:t xml:space="preserve">Debe coincidir con las filas de trayectoria</x:t>
        </x:is>
      </x:c>
    </x:row>
    <x:row r="30" ht="15" customHeight="1">
      <x:c r="A30" s="262" t="inlineStr">
        <x:is>
          <x:t xml:space="preserve">reserva_uca_i_max</x:t>
        </x:is>
      </x:c>
      <x:c r="B30" s="344" t="n">
        <x:v>0.01</x:v>
      </x:c>
      <x:c r="C30" s="262" t="inlineStr">
        <x:is>
          <x:t xml:space="preserve">% del patrimonio inicial</x:t>
        </x:is>
      </x:c>
      <x:c r="D30" s="262" t="inlineStr">
        <x:is>
          <x:t xml:space="preserve">Regla propuesta</x:t>
        </x:is>
      </x:c>
      <x:c r="E30" s="262" t="inlineStr">
        <x:is>
          <x:t xml:space="preserve">Límite explícito ρ</x:t>
        </x:is>
      </x:c>
      <x:c r="F30" s="262" t="inlineStr">
        <x:is>
          <x:t xml:space="preserve">Diseño UCA-I</x:t>
        </x:is>
      </x:c>
      <x:c r="G30" s="262" t="inlineStr">
        <x:is>
          <x:t xml:space="preserve">Normativo; no empírico</x:t>
        </x:is>
      </x:c>
      <x:c r="H30" s="262" t="inlineStr">
        <x:is>
          <x:t xml:space="preserve">Someter a examen jurídico y distributivo</x:t>
        </x:is>
      </x:c>
    </x:row>
    <x:row r="31" ht="15" customHeight="1">
      <x:c r="A31" s="262" t="inlineStr">
        <x:is>
          <x:t xml:space="preserve">cuota_comunitaria_min</x:t>
        </x:is>
      </x:c>
      <x:c r="B31" s="340" t="n">
        <x:f>1-B30</x:f>
        <x:v>0.99</x:v>
      </x:c>
      <x:c r="C31" s="262" t="inlineStr">
        <x:is>
          <x:t xml:space="preserve">% del patrimonio inicial</x:t>
        </x:is>
      </x:c>
      <x:c r="D31" s="262" t="inlineStr">
        <x:is>
          <x:t xml:space="preserve">Magnitud derivada</x:t>
        </x:is>
      </x:c>
      <x:c r="E31" s="262" t="inlineStr">
        <x:is>
          <x:t xml:space="preserve">1 − ρ</x:t>
        </x:is>
      </x:c>
      <x:c r="F31" s="262" t="inlineStr">
        <x:is>
          <x:t xml:space="preserve">Control UCA-I</x:t>
        </x:is>
      </x:c>
      <x:c r="G31" s="262" t="inlineStr">
        <x:is>
          <x:t xml:space="preserve">Calculado</x:t>
        </x:is>
      </x:c>
      <x:c r="H31" s="262" t="inlineStr">
        <x:is>
          <x:t xml:space="preserve">Debe ser al menos 99 %</x:t>
        </x:is>
      </x:c>
    </x:row>
    <x:row r="32" ht="15" customHeight="1">
      <x:c r="A32" s="262" t="inlineStr">
        <x:is>
          <x:t xml:space="preserve">tolerancia_reconciliacion_mill_eur</x:t>
        </x:is>
      </x:c>
      <x:c r="B32" s="341" t="n">
        <x:v>0.05</x:v>
      </x:c>
      <x:c r="C32" s="262" t="inlineStr">
        <x:is>
          <x:t xml:space="preserve">M€</x:t>
        </x:is>
      </x:c>
      <x:c r="D32" s="262" t="inlineStr">
        <x:is>
          <x:t xml:space="preserve">Control numérico</x:t>
        </x:is>
      </x:c>
      <x:c r="E32" s="262" t="inlineStr">
        <x:is>
          <x:t xml:space="preserve">Umbral explícito</x:t>
        </x:is>
      </x:c>
      <x:c r="F32" s="262" t="inlineStr">
        <x:is>
          <x:t xml:space="preserve">Redondeo Excel–Python</x:t>
        </x:is>
      </x:c>
      <x:c r="G32" s="262" t="inlineStr">
        <x:is>
          <x:t xml:space="preserve">Definido</x:t>
        </x:is>
      </x:c>
      <x:c r="H32" s="262" t="inlineStr">
        <x:is>
          <x:t xml:space="preserve">No sustituye auditoría externa</x:t>
        </x:is>
      </x:c>
    </x:row>
    <x:row r="33">
      <x:c r="A33" t="str">
        <x:v>Ajuste medio de crisis de cartera</x:v>
      </x:c>
      <x:c r="B33" s="358" t="n">
        <x:f>'Parámetros'!$B$39</x:f>
        <x:v>-0.0037937500000000007</x:v>
      </x:c>
      <x:c r="C33" t="str">
        <x:v>% anual</x:v>
      </x:c>
      <x:c r="D33" t="str">
        <x:v>Magnitud derivada</x:v>
      </x:c>
      <x:c r="E33" t="str">
        <x:v>p_crisis × (wRV·choqueRV + wBonos·choqueBonos)</x:v>
      </x:c>
      <x:c r="F33" t="str">
        <x:v>Régimen de crisis configurado</x:v>
      </x:c>
      <x:c r="G33" t="str">
        <x:v>Calculado sobre calibraciones</x:v>
      </x:c>
      <x:c r="H33" t="str">
        <x:v>No es una estimación empírica</x:v>
      </x:c>
    </x:row>
    <x:row r="34">
      <x:c r="A34" t="str">
        <x:v>Retorno bruto medio incondicional MC (aprox.)</x:v>
      </x:c>
      <x:c r="B34" s="358" t="n">
        <x:f>'Parámetros'!$B$40</x:f>
        <x:v>0.03200625000000001</x:v>
      </x:c>
      <x:c r="C34" t="str">
        <x:v>% anual</x:v>
      </x:c>
      <x:c r="D34" t="str">
        <x:v>Magnitud derivada</x:v>
      </x:c>
      <x:c r="E34" t="str">
        <x:v>retorno base + ajuste medio de crisis</x:v>
      </x:c>
      <x:c r="F34" t="str">
        <x:v>Antes del truncamiento del generador</x:v>
      </x:c>
      <x:c r="G34" t="str">
        <x:v>Calculado sobre calibraciones</x:v>
      </x:c>
      <x:c r="H34" t="str">
        <x:v>Distinguir del 3,58 % base</x:v>
      </x:c>
    </x:row>
    <x:row r="35">
      <x:c r="A35" t="str">
        <x:v>Crecimiento aportaciones medio incondicional MC (aprox.)</x:v>
      </x:c>
      <x:c r="B35" s="358" t="n">
        <x:f>'Parámetros'!$B$41</x:f>
        <x:v>0.007375</x:v>
      </x:c>
      <x:c r="C35" t="str">
        <x:v>% anual</x:v>
      </x:c>
      <x:c r="D35" t="str">
        <x:v>Magnitud derivada</x:v>
      </x:c>
      <x:c r="E35" t="str">
        <x:v>g_base + p_crisis × choque_aportaciones</x:v>
      </x:c>
      <x:c r="F35" t="str">
        <x:v>Antes del truncamiento del generador</x:v>
      </x:c>
      <x:c r="G35" t="str">
        <x:v>Calculado sobre calibraciones</x:v>
      </x:c>
      <x:c r="H35" t="str">
        <x:v>No es una estimación de salarios o empleo</x:v>
      </x:c>
    </x:row>
  </x:sheetData>
  <x:mergeCells>
    <x:mergeCell ref="A2:H2"/>
    <x:mergeCell ref="A1:H1"/>
  </x:mergeCell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6" hidden="0" customWidth="1"/>
    <x:col min="2" max="2" width="18" hidden="0" customWidth="1"/>
    <x:col min="3" max="3" width="45" hidden="0" customWidth="1"/>
    <x:col min="4" max="4" width="18" hidden="0" customWidth="1"/>
    <x:col min="5" max="5" width="18" hidden="0" customWidth="1"/>
    <x:col min="6" max="6" width="18" hidden="0" customWidth="1"/>
    <x:col min="7" max="7" width="70" hidden="0" customWidth="1"/>
  </x:cols>
  <x:sheetData>
    <x:row r="1" ht="28" customHeight="1">
      <x:c r="A1" s="361" t="str">
        <x:v>Monte Carlo v5.2.0: estimación y error numérico</x:v>
      </x:c>
      <x:c r="B1" s="361"/>
      <x:c r="C1" s="361"/>
      <x:c r="D1" s="361"/>
      <x:c r="E1" s="361"/>
      <x:c r="F1" s="361"/>
      <x:c r="G1" s="361"/>
    </x:row>
    <x:row r="2" ht="32" customHeight="1">
      <x:c r="A2" s="364" t="str">
        <x:v>Los intervalos describen precisión de simulación con parámetros fijos. Para probabilidades se usa Wilson; para medias, aproximación normal. No son intervalos sobre el mundo real.</x:v>
      </x:c>
      <x:c r="B2" s="364"/>
      <x:c r="C2" s="364"/>
      <x:c r="D2" s="364"/>
      <x:c r="E2" s="364"/>
      <x:c r="F2" s="364"/>
      <x:c r="G2" s="364"/>
    </x:row>
    <x:row r="4" ht="34" customHeight="1">
      <x:c r="A4" s="372" t="str">
        <x:v>Indicador</x:v>
      </x:c>
      <x:c r="B4" s="373" t="str">
        <x:v>Valor</x:v>
      </x:c>
      <x:c r="C4" s="373" t="str">
        <x:v>Tipo de incertidumbre representada</x:v>
      </x:c>
      <x:c r="D4" s="373" t="str">
        <x:v>Error estándar MC</x:v>
      </x:c>
      <x:c r="E4" s="373" t="str">
        <x:v>IC MC inferior</x:v>
      </x:c>
      <x:c r="F4" s="373" t="str">
        <x:v>IC MC superior</x:v>
      </x:c>
      <x:c r="G4" s="374" t="str">
        <x:v>Interpretación</x:v>
      </x:c>
    </x:row>
    <x:row r="5">
      <x:c r="A5" s="381" t="str">
        <x:v>Simulaciones</x:v>
      </x:c>
      <x:c r="B5" s="386" t="n">
        <x:v>100000</x:v>
      </x:c>
      <x:c r="C5" s="381" t="str">
        <x:v>Configuración</x:v>
      </x:c>
      <x:c r="D5" s="386"/>
      <x:c r="E5" s="386"/>
      <x:c r="F5" s="386"/>
      <x:c r="G5" s="381" t="str">
        <x:v>Número de trayectorias; no es tamaño de muestra empírica</x:v>
      </x:c>
    </x:row>
    <x:row r="6">
      <x:c r="A6" s="384" t="str">
        <x:v>Retorno bruto de cartera base (sin crisis)</x:v>
      </x:c>
      <x:c r="B6" s="387" t="n">
        <x:v>0.0358</x:v>
      </x:c>
      <x:c r="C6" s="384" t="str">
        <x:v>Parámetro fijo</x:v>
      </x:c>
      <x:c r="D6" s="387"/>
      <x:c r="E6" s="387"/>
      <x:c r="F6" s="387"/>
      <x:c r="G6" s="384" t="str">
        <x:v>Media determinista previa a costes y sin el régimen de crisis</x:v>
      </x:c>
    </x:row>
    <x:row r="7">
      <x:c r="A7" s="382" t="str">
        <x:v>Retorno bruto medio incondicional aproximado del MC</x:v>
      </x:c>
      <x:c r="B7" s="388" t="n">
        <x:v>0.03200625</x:v>
      </x:c>
      <x:c r="C7" s="382" t="str">
        <x:v>Parámetro derivado</x:v>
      </x:c>
      <x:c r="D7" s="388"/>
      <x:c r="E7" s="388"/>
      <x:c r="F7" s="388"/>
      <x:c r="G7" s="382" t="str">
        <x:v>Incluye el ajuste medio del régimen de crisis antes del truncamiento</x:v>
      </x:c>
    </x:row>
    <x:row r="8">
      <x:c r="A8" s="384" t="str">
        <x:v>Media patrimonio final (M€)</x:v>
      </x:c>
      <x:c r="B8" s="387" t="n">
        <x:v>2921443.934080987</x:v>
      </x:c>
      <x:c r="C8" s="384" t="str">
        <x:v>Aleatoria entre trayectorias + error de la media simulada</x:v>
      </x:c>
      <x:c r="D8" s="387" t="n">
        <x:v>3461.964728350515</x:v>
      </x:c>
      <x:c r="E8" s="387" t="n">
        <x:v>2914658.607897672</x:v>
      </x:c>
      <x:c r="F8" s="387" t="n">
        <x:v>2928229.2602643017</x:v>
      </x:c>
      <x:c r="G8" s="384" t="str">
        <x:v>Condicionada a parámetros fijos; no incluye error de calibración</x:v>
      </x:c>
    </x:row>
    <x:row r="9">
      <x:c r="A9" s="382" t="str">
        <x:v>Mediana patrimonio final (M€)</x:v>
      </x:c>
      <x:c r="B9" s="388" t="n">
        <x:v>2713299.637332425</x:v>
      </x:c>
      <x:c r="C9" s="382" t="str">
        <x:v>Aleatoria entre trayectorias</x:v>
      </x:c>
      <x:c r="D9" s="388"/>
      <x:c r="E9" s="388"/>
      <x:c r="F9" s="388"/>
      <x:c r="G9" s="382" t="str">
        <x:v>Cuantil de la distribución simulada; sin error paramétrico</x:v>
      </x:c>
    </x:row>
    <x:row r="10">
      <x:c r="A10" s="384" t="str">
        <x:v>Percentil 5 patrimonio final (M€)</x:v>
      </x:c>
      <x:c r="B10" s="387" t="n">
        <x:v>1588999.052837526</x:v>
      </x:c>
      <x:c r="C10" s="384" t="str">
        <x:v>Aleatoria entre trayectorias</x:v>
      </x:c>
      <x:c r="D10" s="387"/>
      <x:c r="E10" s="387"/>
      <x:c r="F10" s="387"/>
      <x:c r="G10" s="384" t="str">
        <x:v>Cuantil condicionado; no es un límite de confianza empírico</x:v>
      </x:c>
    </x:row>
    <x:row r="11">
      <x:c r="A11" s="382" t="str">
        <x:v>Percentil 95 patrimonio final (M€)</x:v>
      </x:c>
      <x:c r="B11" s="388" t="n">
        <x:v>4978473.509562776</x:v>
      </x:c>
      <x:c r="C11" s="382" t="str">
        <x:v>Aleatoria entre trayectorias</x:v>
      </x:c>
      <x:c r="D11" s="388"/>
      <x:c r="E11" s="388"/>
      <x:c r="F11" s="388"/>
      <x:c r="G11" s="382" t="str">
        <x:v>Cuantil condicionado; no es un límite de confianza empírico</x:v>
      </x:c>
    </x:row>
    <x:row r="12">
      <x:c r="A12" s="384" t="str">
        <x:v>Probabilidad stock terminal &lt; aportaciones</x:v>
      </x:c>
      <x:c r="B12" s="387" t="n">
        <x:v>0.24015</x:v>
      </x:c>
      <x:c r="C12" s="384" t="str">
        <x:v>Aleatoria entre trayectorias + error binomial de simulación</x:v>
      </x:c>
      <x:c r="D12" s="387" t="n">
        <x:v>0.0013508440972221</x:v>
      </x:c>
      <x:c r="E12" s="387" t="n">
        <x:v>0.2375124079038717</x:v>
      </x:c>
      <x:c r="F12" s="387" t="n">
        <x:v>0.2428075553907377</x:v>
      </x:c>
      <x:c r="G12" s="384" t="str">
        <x:v>Frecuencia simulada; compara stock con aportaciones reales acumuladas</x:v>
      </x:c>
    </x:row>
    <x:row r="13">
      <x:c r="A13" s="382" t="str">
        <x:v>Probabilidad recursos totales &lt; aportaciones</x:v>
      </x:c>
      <x:c r="B13" s="388" t="n">
        <x:v>0.10357</x:v>
      </x:c>
      <x:c r="C13" s="382" t="str">
        <x:v>Aleatoria entre trayectorias + error binomial de simulación</x:v>
      </x:c>
      <x:c r="D13" s="388" t="n">
        <x:v>0.0009635520489314</x:v>
      </x:c>
      <x:c r="E13" s="388" t="n">
        <x:v>0.1016966756735457</x:v>
      </x:c>
      <x:c r="F13" s="388" t="n">
        <x:v>0.1054737805468968</x:v>
      </x:c>
      <x:c r="G13" s="382" t="str">
        <x:v>Suma stock final y distribuciones reales no capitalizadas</x:v>
      </x:c>
    </x:row>
    <x:row r="14">
      <x:c r="A14" s="384" t="str">
        <x:v>Probabilidad patrimonio terminal = 0</x:v>
      </x:c>
      <x:c r="B14" s="387" t="n">
        <x:v>0</x:v>
      </x:c>
      <x:c r="C14" s="384" t="str">
        <x:v>Aleatoria entre trayectorias + error binomial de simulación</x:v>
      </x:c>
      <x:c r="D14" s="387" t="n">
        <x:v>0</x:v>
      </x:c>
      <x:c r="E14" s="387" t="n">
        <x:v>0</x:v>
      </x:c>
      <x:c r="F14" s="387" t="n">
        <x:v>0.00003841311258303962</x:v>
      </x:c>
      <x:c r="G14" s="384" t="str">
        <x:v>Métrica poco informativa con aportaciones positivas continuadas</x:v>
      </x:c>
    </x:row>
    <x:row r="15">
      <x:c r="A15" s="382" t="str">
        <x:v>Probabilidad de alguna distribución limitada</x:v>
      </x:c>
      <x:c r="B15" s="388" t="n">
        <x:v>0.3469</x:v>
      </x:c>
      <x:c r="C15" s="382" t="str">
        <x:v>Aleatoria entre trayectorias + error binomial de simulación</x:v>
      </x:c>
      <x:c r="D15" s="388" t="n">
        <x:v>0.0015051923132942</x:v>
      </x:c>
      <x:c r="E15" s="388" t="n">
        <x:v>0.3439558091238968</x:v>
      </x:c>
      <x:c r="F15" s="388" t="n">
        <x:v>0.3498559529711762</x:v>
      </x:c>
      <x:c r="G15" s="382" t="str">
        <x:v>Activación simulada del suelo; no implica insolvencia</x:v>
      </x:c>
    </x:row>
    <x:row r="16">
      <x:c r="A16" s="384" t="str">
        <x:v>Media de años con distribución limitada</x:v>
      </x:c>
      <x:c r="B16" s="387" t="n">
        <x:v>1.95958</x:v>
      </x:c>
      <x:c r="C16" s="384" t="str">
        <x:v>Aleatoria entre trayectorias + error de la media simulada</x:v>
      </x:c>
      <x:c r="D16" s="387" t="n">
        <x:v>0.0123606549217224</x:v>
      </x:c>
      <x:c r="E16" s="387" t="n">
        <x:v>1.9353535615280963</x:v>
      </x:c>
      <x:c r="F16" s="387" t="n">
        <x:v>1.983806438471904</x:v>
      </x:c>
      <x:c r="G16" s="384" t="str">
        <x:v>Número medio condicionado de ejercicios con pago inferior al objetivo</x:v>
      </x:c>
    </x:row>
    <x:row r="17">
      <x:c r="A17" s="382" t="str">
        <x:v>Probabilidad ahorrador estándar 2026 &lt; aportaciones</x:v>
      </x:c>
      <x:c r="B17" s="388" t="n">
        <x:v>0.08387</x:v>
      </x:c>
      <x:c r="C17" s="382" t="str">
        <x:v>Aleatoria entre trayectorias + error binomial de simulación</x:v>
      </x:c>
      <x:c r="D17" s="388" t="n">
        <x:v>0.000876560454846</x:v>
      </x:c>
      <x:c r="E17" s="388" t="n">
        <x:v>0.0821679165616152</x:v>
      </x:c>
      <x:c r="F17" s="388" t="n">
        <x:v>0.0856040531354631</x:v>
      </x:c>
      <x:c r="G17" s="382" t="str">
        <x:v>Cohorte mecánica de una unidad anual; no es cálculo actuarial</x:v>
      </x:c>
    </x:row>
    <x:row r="18">
      <x:c r="A18" s="384" t="str">
        <x:v>Mediana ratio recursos/aportaciones ahorrador 2026</x:v>
      </x:c>
      <x:c r="B18" s="387" t="n">
        <x:v>1.6593694383398296</x:v>
      </x:c>
      <x:c r="C18" s="384" t="str">
        <x:v>Aleatoria entre trayectorias</x:v>
      </x:c>
      <x:c r="D18" s="387"/>
      <x:c r="E18" s="387"/>
      <x:c r="F18" s="387"/>
      <x:c r="G18" s="384" t="str">
        <x:v>Suma distribuciones reales y NAV terminal sin valor temporal</x:v>
      </x:c>
    </x:row>
    <x:row r="19">
      <x:c r="A19" s="382" t="str">
        <x:v>Probabilidad ahorrador estándar 2036 &lt; aportaciones</x:v>
      </x:c>
      <x:c r="B19" s="388" t="n">
        <x:v>0.11622</x:v>
      </x:c>
      <x:c r="C19" s="382" t="str">
        <x:v>Aleatoria entre trayectorias + error binomial de simulación</x:v>
      </x:c>
      <x:c r="D19" s="388" t="n">
        <x:v>0.0010134737865381</x:v>
      </x:c>
      <x:c r="E19" s="388" t="n">
        <x:v>0.1142483535091322</x:v>
      </x:c>
      <x:c r="F19" s="388" t="n">
        <x:v>0.118221130859562</x:v>
      </x:c>
      <x:c r="G19" s="382" t="str">
        <x:v>Cohorte mecánica de una unidad anual; no es cálculo actuarial</x:v>
      </x:c>
    </x:row>
    <x:row r="20">
      <x:c r="A20" s="384" t="str">
        <x:v>Mediana ratio recursos/aportaciones ahorrador 2036</x:v>
      </x:c>
      <x:c r="B20" s="387" t="n">
        <x:v>1.4462136045078111</x:v>
      </x:c>
      <x:c r="C20" s="384" t="str">
        <x:v>Aleatoria entre trayectorias</x:v>
      </x:c>
      <x:c r="D20" s="387"/>
      <x:c r="E20" s="387"/>
      <x:c r="F20" s="387"/>
      <x:c r="G20" s="384" t="str">
        <x:v>Suma distribuciones reales y NAV terminal sin valor temporal</x:v>
      </x:c>
    </x:row>
    <x:row r="21">
      <x:c r="A21" s="382" t="str">
        <x:v>Probabilidad ahorrador estándar 2046 &lt; aportaciones</x:v>
      </x:c>
      <x:c r="B21" s="388" t="n">
        <x:v>0.16598</x:v>
      </x:c>
      <x:c r="C21" s="382" t="str">
        <x:v>Aleatoria entre trayectorias + error binomial de simulación</x:v>
      </x:c>
      <x:c r="D21" s="388" t="n">
        <x:v>0.0011765655085884</x:v>
      </x:c>
      <x:c r="E21" s="388" t="n">
        <x:v>0.1636868133212205</x:v>
      </x:c>
      <x:c r="F21" s="388" t="n">
        <x:v>0.1682988481745093</x:v>
      </x:c>
      <x:c r="G21" s="382" t="str">
        <x:v>Cohorte mecánica de una unidad anual; no es cálculo actuarial</x:v>
      </x:c>
    </x:row>
    <x:row r="22">
      <x:c r="A22" s="385" t="str">
        <x:v>Mediana ratio recursos/aportaciones ahorrador 2046</x:v>
      </x:c>
      <x:c r="B22" s="389" t="n">
        <x:v>1.2752873555758892</x:v>
      </x:c>
      <x:c r="C22" s="385" t="str">
        <x:v>Aleatoria entre trayectorias</x:v>
      </x:c>
      <x:c r="D22" s="389"/>
      <x:c r="E22" s="389"/>
      <x:c r="F22" s="389"/>
      <x:c r="G22" s="385" t="str">
        <x:v>Suma distribuciones reales y NAV terminal sin valor temporal</x:v>
      </x:c>
    </x:row>
  </x:sheetData>
  <x:mergeCells>
    <x:mergeCell ref="A1:G1"/>
    <x:mergeCell ref="A2:G2"/>
  </x:mergeCells>
  <x:conditionalFormatting sqref="A8:F22">
    <x:cfRule type="containsText" dxfId="2" priority="1" operator="containsText" text="Probabilidad"/>
  </x:conditionalFormatting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30" hidden="0" customWidth="1"/>
    <x:col min="3" max="3" width="54" hidden="0" customWidth="1"/>
    <x:col min="4" max="4" width="66" hidden="0" customWidth="1"/>
  </x:cols>
  <x:sheetData>
    <x:row r="1" ht="28" customHeight="1">
      <x:c r="A1" s="361" t="str">
        <x:v>Mapa de incertidumbre y límites cuantitativos</x:v>
      </x:c>
      <x:c r="B1" s="361"/>
      <x:c r="C1" s="361"/>
      <x:c r="D1" s="361"/>
    </x:row>
    <x:row r="2" ht="32" customHeight="1">
      <x:c r="A2" s="364" t="str">
        <x:v>La sofisticación computacional no convierte calibraciones en estimaciones. Esta hoja muestra qué variación está cuantificada y cuál permanece fuera del motor.</x:v>
      </x:c>
      <x:c r="B2" s="364"/>
      <x:c r="C2" s="364"/>
      <x:c r="D2" s="364"/>
    </x:row>
    <x:row r="4" ht="34" customHeight="1">
      <x:c r="A4" s="372" t="str">
        <x:v>Componente</x:v>
      </x:c>
      <x:c r="B4" s="373" t="str">
        <x:v>Estado v5.2.0</x:v>
      </x:c>
      <x:c r="C4" s="373" t="str">
        <x:v>Representación</x:v>
      </x:c>
      <x:c r="D4" s="374" t="str">
        <x:v>Límite</x:v>
      </x:c>
    </x:row>
    <x:row r="5" ht="48" customHeight="1">
      <x:c r="A5" s="381" t="str">
        <x:v>Aleatoria entre trayectorias</x:v>
      </x:c>
      <x:c r="B5" s="381" t="str">
        <x:v>Incluida</x:v>
      </x:c>
      <x:c r="C5" s="381" t="str">
        <x:v>Percentiles de 100.000 trayectorias condicionadas</x:v>
      </x:c>
      <x:c r="D5" s="381" t="str">
        <x:v>Depende por completo de la especificación y calibración elegidas</x:v>
      </x:c>
    </x:row>
    <x:row r="6" ht="48" customHeight="1">
      <x:c r="A6" s="384" t="str">
        <x:v>Error numérico de Monte Carlo</x:v>
      </x:c>
      <x:c r="B6" s="384" t="str">
        <x:v>Incluido para medias y probabilidades</x:v>
      </x:c>
      <x:c r="C6" s="384" t="str">
        <x:v>Intervalo normal para medias y Wilson para probabilidades</x:v>
      </x:c>
      <x:c r="D6" s="384" t="str">
        <x:v>Mide repetición de la simulación, no verdad económica</x:v>
      </x:c>
    </x:row>
    <x:row r="7" ht="48" customHeight="1">
      <x:c r="A7" s="382" t="str">
        <x:v>Incertidumbre paramétrica</x:v>
      </x:c>
      <x:c r="B7" s="382" t="str">
        <x:v>Parcial, sin distribución conjunta</x:v>
      </x:c>
      <x:c r="C7" s="382" t="str">
        <x:v>Escenarios y sensibilidad bidimensional determinista</x:v>
      </x:c>
      <x:c r="D7" s="382" t="str">
        <x:v>No se estiman errores estándar de retornos, costes o correlaciones</x:v>
      </x:c>
    </x:row>
    <x:row r="8" ht="48" customHeight="1">
      <x:c r="A8" s="384" t="str">
        <x:v>Incertidumbre estructural del modelo</x:v>
      </x:c>
      <x:c r="B8" s="384" t="str">
        <x:v>No cuantificada</x:v>
      </x:c>
      <x:c r="C8" s="384" t="str">
        <x:v>Advertencias de alcance y pruebas de estrés</x:v>
      </x:c>
      <x:c r="D8" s="384" t="str">
        <x:v>No compara modelos alternativos de economía, fiscalidad o conducta</x:v>
      </x:c>
    </x:row>
    <x:row r="9" ht="48" customHeight="1">
      <x:c r="A9" s="390" t="str">
        <x:v>Adecuación actuarial y fiscal</x:v>
      </x:c>
      <x:c r="B9" s="390" t="str">
        <x:v>Fuera de alcance</x:v>
      </x:c>
      <x:c r="C9" s="390" t="str">
        <x:v>Ninguna</x:v>
      </x:c>
      <x:c r="D9" s="390" t="str">
        <x:v>No modela prestaciones, mortalidad, salarios, deuda ni transición fiscal</x:v>
      </x:c>
    </x:row>
    <x:row r="10" ht="48" customHeight="1">
      <x:c r="A10" s="391" t="str">
        <x:v>Riesgo jurídico e institucional</x:v>
      </x:c>
      <x:c r="B10" s="391" t="str">
        <x:v>Fuera del motor cuantitativo</x:v>
      </x:c>
      <x:c r="C10" s="391" t="str">
        <x:v>Análisis cualitativo separado</x:v>
      </x:c>
      <x:c r="D10" s="391" t="str">
        <x:v>No puede traducirse legítimamente en una probabilidad numérica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7" hidden="0" customWidth="1"/>
    <x:col min="3" max="3" width="18" hidden="0" customWidth="1"/>
    <x:col min="4" max="4" width="17" hidden="0" customWidth="1"/>
    <x:col min="5" max="5" width="20" hidden="0" customWidth="1"/>
    <x:col min="6" max="6" width="18" hidden="0" customWidth="1"/>
    <x:col min="7" max="7" width="27" hidden="0" customWidth="1"/>
    <x:col min="8" max="8" width="27" hidden="0" customWidth="1"/>
    <x:col min="9" max="9" width="22" hidden="0" customWidth="1"/>
    <x:col min="10" max="10" width="20" hidden="0" customWidth="1"/>
  </x:cols>
  <x:sheetData>
    <x:row r="1" ht="28" customHeight="1">
      <x:c r="A1" s="361" t="str">
        <x:v>Reverse stress de la regla de distribución</x:v>
      </x:c>
      <x:c r="B1" s="361"/>
      <x:c r="C1" s="361"/>
      <x:c r="D1" s="361"/>
      <x:c r="E1" s="361"/>
      <x:c r="F1" s="361"/>
      <x:c r="G1" s="361"/>
      <x:c r="H1" s="361"/>
      <x:c r="I1" s="361"/>
      <x:c r="J1" s="361"/>
    </x:row>
    <x:row r="2" ht="32" customHeight="1">
      <x:c r="A2" s="364" t="str">
        <x:v>Malla diagnóstica, sin probabilidades asignadas. Busca el primer choque declarado que obliga a pagar menos que el objetivo; no representa un episodio histórico.</x:v>
      </x:c>
      <x:c r="B2" s="364"/>
      <x:c r="C2" s="364"/>
      <x:c r="D2" s="364"/>
      <x:c r="E2" s="364"/>
      <x:c r="F2" s="364"/>
      <x:c r="G2" s="364"/>
      <x:c r="H2" s="364"/>
      <x:c r="I2" s="364"/>
      <x:c r="J2" s="364"/>
    </x:row>
    <x:row r="4" ht="34" customHeight="1">
      <x:c r="A4" s="372" t="str">
        <x:v>Año del choque</x:v>
      </x:c>
      <x:c r="B4" s="373" t="str">
        <x:v>Choque RV aditivo</x:v>
      </x:c>
      <x:c r="C4" s="373" t="str">
        <x:v>Choque bonos aditivo</x:v>
      </x:c>
      <x:c r="D4" s="373" t="str">
        <x:v>Choque aportación</x:v>
      </x:c>
      <x:c r="E4" s="373" t="str">
        <x:v>Años con distribución limitada</x:v>
      </x:c>
      <x:c r="F4" s="373" t="str">
        <x:v>Primer año limitado</x:v>
      </x:c>
      <x:c r="G4" s="373" t="str">
        <x:v>Distribución objetivo en primer año limitado (M€)</x:v>
      </x:c>
      <x:c r="H4" s="373" t="str">
        <x:v>Distribución efectiva en primer año limitado (M€)</x:v>
      </x:c>
      <x:c r="I4" s="373" t="str">
        <x:v>Patrimonio final (M€)</x:v>
      </x:c>
      <x:c r="J4" s="374" t="str">
        <x:v>Primer umbral observado en la malla</x:v>
      </x:c>
    </x:row>
    <x:row r="5">
      <x:c r="A5" s="381" t="n">
        <x:v>2046</x:v>
      </x:c>
      <x:c r="B5" s="403" t="n">
        <x:v>-0.1</x:v>
      </x:c>
      <x:c r="C5" s="403" t="n">
        <x:v>-0.02</x:v>
      </x:c>
      <x:c r="D5" s="403" t="n">
        <x:v>-0.1</x:v>
      </x:c>
      <x:c r="E5" s="407" t="n">
        <x:v>0</x:v>
      </x:c>
      <x:c r="F5" s="407"/>
      <x:c r="G5" s="411"/>
      <x:c r="H5" s="411"/>
      <x:c r="I5" s="411" t="n">
        <x:v>3023175.0376501614</x:v>
      </x:c>
      <x:c r="J5" s="415" t="b">
        <x:v>0</x:v>
      </x:c>
    </x:row>
    <x:row r="6">
      <x:c r="A6" s="384" t="n">
        <x:v>2046</x:v>
      </x:c>
      <x:c r="B6" s="404" t="n">
        <x:v>-0.2</x:v>
      </x:c>
      <x:c r="C6" s="404" t="n">
        <x:v>-0.04</x:v>
      </x:c>
      <x:c r="D6" s="404" t="n">
        <x:v>-0.1</x:v>
      </x:c>
      <x:c r="E6" s="408" t="n">
        <x:v>0</x:v>
      </x:c>
      <x:c r="F6" s="408"/>
      <x:c r="G6" s="412"/>
      <x:c r="H6" s="412"/>
      <x:c r="I6" s="412" t="n">
        <x:v>2923843.813841284</x:v>
      </x:c>
      <x:c r="J6" s="416" t="b">
        <x:v>0</x:v>
      </x:c>
    </x:row>
    <x:row r="7">
      <x:c r="A7" s="382" t="n">
        <x:v>2046</x:v>
      </x:c>
      <x:c r="B7" s="405" t="n">
        <x:v>-0.3</x:v>
      </x:c>
      <x:c r="C7" s="405" t="n">
        <x:v>-0.06</x:v>
      </x:c>
      <x:c r="D7" s="405" t="n">
        <x:v>-0.1</x:v>
      </x:c>
      <x:c r="E7" s="409" t="n">
        <x:v>0</x:v>
      </x:c>
      <x:c r="F7" s="409"/>
      <x:c r="G7" s="413"/>
      <x:c r="H7" s="413"/>
      <x:c r="I7" s="413" t="n">
        <x:v>2824512.590032407</x:v>
      </x:c>
      <x:c r="J7" s="417" t="b">
        <x:v>0</x:v>
      </x:c>
    </x:row>
    <x:row r="8">
      <x:c r="A8" s="384" t="n">
        <x:v>2046</x:v>
      </x:c>
      <x:c r="B8" s="404" t="n">
        <x:v>-0.4</x:v>
      </x:c>
      <x:c r="C8" s="404" t="n">
        <x:v>-0.08</x:v>
      </x:c>
      <x:c r="D8" s="404" t="n">
        <x:v>-0.1</x:v>
      </x:c>
      <x:c r="E8" s="408" t="n">
        <x:v>0</x:v>
      </x:c>
      <x:c r="F8" s="408"/>
      <x:c r="G8" s="412"/>
      <x:c r="H8" s="412"/>
      <x:c r="I8" s="412" t="n">
        <x:v>2725181.3662235304</x:v>
      </x:c>
      <x:c r="J8" s="416" t="b">
        <x:v>0</x:v>
      </x:c>
    </x:row>
    <x:row r="9">
      <x:c r="A9" s="419" t="n">
        <x:v>2046</x:v>
      </x:c>
      <x:c r="B9" s="420" t="n">
        <x:v>-0.5</x:v>
      </x:c>
      <x:c r="C9" s="420" t="n">
        <x:v>-0.1</x:v>
      </x:c>
      <x:c r="D9" s="420" t="n">
        <x:v>-0.1</x:v>
      </x:c>
      <x:c r="E9" s="421" t="n">
        <x:v>2</x:v>
      </x:c>
      <x:c r="F9" s="421" t="n">
        <x:v>2046</x:v>
      </x:c>
      <x:c r="G9" s="422" t="n">
        <x:v>11822.976202149506</x:v>
      </x:c>
      <x:c r="H9" s="422" t="n">
        <x:v>0</x:v>
      </x:c>
      <x:c r="I9" s="422" t="n">
        <x:v>2659877.9058427126</x:v>
      </x:c>
      <x:c r="J9" s="423" t="b">
        <x:v>1</x:v>
      </x:c>
    </x:row>
    <x:row r="10">
      <x:c r="A10" s="384" t="n">
        <x:v>2046</x:v>
      </x:c>
      <x:c r="B10" s="404" t="n">
        <x:v>-0.6</x:v>
      </x:c>
      <x:c r="C10" s="404" t="n">
        <x:v>-0.12</x:v>
      </x:c>
      <x:c r="D10" s="404" t="n">
        <x:v>-0.1</x:v>
      </x:c>
      <x:c r="E10" s="408" t="n">
        <x:v>4</x:v>
      </x:c>
      <x:c r="F10" s="408" t="n">
        <x:v>2046</x:v>
      </x:c>
      <x:c r="G10" s="412" t="n">
        <x:v>11822.976202149506</x:v>
      </x:c>
      <x:c r="H10" s="412" t="n">
        <x:v>0</x:v>
      </x:c>
      <x:c r="I10" s="412" t="n">
        <x:v>2595484.9024552847</x:v>
      </x:c>
      <x:c r="J10" s="416" t="b">
        <x:v>0</x:v>
      </x:c>
    </x:row>
    <x:row r="11">
      <x:c r="A11" s="383" t="n">
        <x:v>2046</x:v>
      </x:c>
      <x:c r="B11" s="406" t="n">
        <x:v>-0.7</x:v>
      </x:c>
      <x:c r="C11" s="406" t="n">
        <x:v>-0.1399999999999999</x:v>
      </x:c>
      <x:c r="D11" s="406" t="n">
        <x:v>-0.1</x:v>
      </x:c>
      <x:c r="E11" s="410" t="n">
        <x:v>6</x:v>
      </x:c>
      <x:c r="F11" s="410" t="n">
        <x:v>2046</x:v>
      </x:c>
      <x:c r="G11" s="414" t="n">
        <x:v>11822.976202149506</x:v>
      </x:c>
      <x:c r="H11" s="414" t="n">
        <x:v>0</x:v>
      </x:c>
      <x:c r="I11" s="414" t="n">
        <x:v>2525279.257116645</x:v>
      </x:c>
      <x:c r="J11" s="418" t="b">
        <x:v>0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26" hidden="0" customWidth="1"/>
    <x:col min="3" max="3" width="32" hidden="0" customWidth="1"/>
    <x:col min="4" max="4" width="78" hidden="0" customWidth="1"/>
    <x:col min="5" max="5" width="54" hidden="0" customWidth="1"/>
    <x:col min="6" max="6" width="70" hidden="0" customWidth="1"/>
    <x:col min="7" max="7" width="20" hidden="0" customWidth="1"/>
  </x:cols>
  <x:sheetData>
    <x:row r="1" ht="28" customHeight="1">
      <x:c r="A1" s="361" t="str">
        <x:v>Procedencia, justificación y estatus de los parámetros</x:v>
      </x:c>
      <x:c r="B1" s="361"/>
      <x:c r="C1" s="361"/>
      <x:c r="D1" s="361"/>
      <x:c r="E1" s="361"/>
      <x:c r="F1" s="361"/>
      <x:c r="G1" s="361"/>
    </x:row>
    <x:row r="2" ht="32" customHeight="1">
      <x:c r="A2" s="364" t="str">
        <x:v>Una referencia comparada no convierte una calibración en dato observado. Las filas sin estimación permanecen identificadas como supuestos, reglas o aproximaciones.</x:v>
      </x:c>
      <x:c r="B2" s="364"/>
      <x:c r="C2" s="364"/>
      <x:c r="D2" s="364"/>
      <x:c r="E2" s="364"/>
      <x:c r="F2" s="364"/>
      <x:c r="G2" s="364"/>
    </x:row>
    <x:row r="4" ht="34" customHeight="1">
      <x:c r="A4" s="372" t="str">
        <x:v>parametro</x:v>
      </x:c>
      <x:c r="B4" s="373" t="str">
        <x:v>categoria</x:v>
      </x:c>
      <x:c r="C4" s="373" t="str">
        <x:v>estatus_evidencia</x:v>
      </x:c>
      <x:c r="D4" s="373" t="str">
        <x:v>fuente_o_justificacion</x:v>
      </x:c>
      <x:c r="E4" s="373" t="str">
        <x:v>url</x:v>
      </x:c>
      <x:c r="F4" s="373" t="str">
        <x:v>advertencia</x:v>
      </x:c>
      <x:c r="G4" s="374" t="str">
        <x:v>valor_ejecucion</x:v>
      </x:c>
    </x:row>
    <x:row r="5" ht="58" customHeight="1">
      <x:c r="A5" s="381" t="str">
        <x:v>anio_inicial</x:v>
      </x:c>
      <x:c r="B5" s="381" t="str">
        <x:v>Convención temporal</x:v>
      </x:c>
      <x:c r="C5" s="381" t="str">
        <x:v>Supuesto de diseño</x:v>
      </x:c>
      <x:c r="D5" s="381" t="str">
        <x:v>Inicio hipotético del prototipo; no es una fecha de implantación aprobada.</x:v>
      </x:c>
      <x:c r="E5" s="381"/>
      <x:c r="F5" s="381" t="str">
        <x:v>No interpretar como calendario jurídico.</x:v>
      </x:c>
      <x:c r="G5" s="386" t="n">
        <x:v>2026</x:v>
      </x:c>
    </x:row>
    <x:row r="6" ht="58" customHeight="1">
      <x:c r="A6" s="384" t="str">
        <x:v>anio_final</x:v>
      </x:c>
      <x:c r="B6" s="384" t="str">
        <x:v>Convención temporal</x:v>
      </x:c>
      <x:c r="C6" s="384" t="str">
        <x:v>Supuesto de diseño</x:v>
      </x:c>
      <x:c r="D6" s="384" t="str">
        <x:v>Horizonte de cuarenta ejercicios elegido para observar capitalización a largo plazo.</x:v>
      </x:c>
      <x:c r="E6" s="384"/>
      <x:c r="F6" s="384" t="str">
        <x:v>No es una previsión hasta 2065.</x:v>
      </x:c>
      <x:c r="G6" s="387" t="n">
        <x:v>2065</x:v>
      </x:c>
    </x:row>
    <x:row r="7" ht="58" customHeight="1">
      <x:c r="A7" s="382" t="str">
        <x:v>masa_cotizaciones_mill_eur</x:v>
      </x:c>
      <x:c r="B7" s="382" t="str">
        <x:v>Escala</x:v>
      </x:c>
      <x:c r="C7" s="382" t="str">
        <x:v>Calibración ilustrativa pendiente de derivación oficial</x:v>
      </x:c>
      <x:c r="D7" s="382" t="str">
        <x:v>Ancla de escala del prototipo. La versión 5.2.0 no demuestra que equivalga a una masa de cotizaciones paneuropea observable.</x:v>
      </x:c>
      <x:c r="E7" s="382"/>
      <x:c r="F7" s="382" t="str">
        <x:v>Debe sustituirse por una construcción país a país antes de una aplicación empírica.</x:v>
      </x:c>
      <x:c r="G7" s="388" t="n">
        <x:v>2200000</x:v>
      </x:c>
    </x:row>
    <x:row r="8" ht="58" customHeight="1">
      <x:c r="A8" s="384" t="str">
        <x:v>estados_referencia</x:v>
      </x:c>
      <x:c r="B8" s="384" t="str">
        <x:v>Escala</x:v>
      </x:c>
      <x:c r="C8" s="384" t="str">
        <x:v>Normalizador mecánico</x:v>
      </x:c>
      <x:c r="D8" s="384" t="str">
        <x:v>Denominador de una regla simplificada de participación.</x:v>
      </x:c>
      <x:c r="E8" s="384"/>
      <x:c r="F8" s="384" t="str">
        <x:v>No pondera tamaño económico, población ni base contributiva.</x:v>
      </x:c>
      <x:c r="G8" s="387" t="n">
        <x:v>12</x:v>
      </x:c>
    </x:row>
    <x:row r="9" ht="58" customHeight="1">
      <x:c r="A9" s="382" t="str">
        <x:v>estados_participantes</x:v>
      </x:c>
      <x:c r="B9" s="382" t="str">
        <x:v>Escala</x:v>
      </x:c>
      <x:c r="C9" s="382" t="str">
        <x:v>Supuesto de escenario</x:v>
      </x:c>
      <x:c r="D9" s="382" t="str">
        <x:v>Numerador de la regla simplificada de participación.</x:v>
      </x:c>
      <x:c r="E9" s="382"/>
      <x:c r="F9" s="382" t="str">
        <x:v>Un Estado adicional no representa necesariamente la misma masa de aportaciones.</x:v>
      </x:c>
      <x:c r="G9" s="388" t="n">
        <x:v>12</x:v>
      </x:c>
    </x:row>
    <x:row r="10" ht="58" customHeight="1">
      <x:c r="A10" s="384" t="str">
        <x:v>crecimiento_real_aportaciones</x:v>
      </x:c>
      <x:c r="B10" s="384" t="str">
        <x:v>Macroeconomía</x:v>
      </x:c>
      <x:c r="C10" s="384" t="str">
        <x:v>Calibración analítica no estimada</x:v>
      </x:c>
      <x:c r="D10" s="384" t="str">
        <x:v>Permite explorar una senda central de aportaciones reales.</x:v>
      </x:c>
      <x:c r="E10" s="384"/>
      <x:c r="F10" s="384" t="str">
        <x:v>No es una estimación econométrica de salarios, empleo o cotizaciones.</x:v>
      </x:c>
      <x:c r="G10" s="387" t="n">
        <x:v>0.008</x:v>
      </x:c>
    </x:row>
    <x:row r="11" ht="58" customHeight="1">
      <x:c r="A11" s="382" t="str">
        <x:v>coste_administracion</x:v>
      </x:c>
      <x:c r="B11" s="382" t="str">
        <x:v>Costes</x:v>
      </x:c>
      <x:c r="C11" s="382" t="str">
        <x:v>Calibración conservadora hipotética</x:v>
      </x:c>
      <x:c r="D11" s="382" t="str">
        <x:v>El 0,18 % no es un coste observado del PEE. Como benchmark institucional, NBIM declaró costes de gestión del 0,038 % del AUM en 2025 y promedio anual del 0,05 % entre 2013 y 2025; la diferencia no constituye una derivación.</x:v>
      </x:c>
      <x:c r="E11" s="382" t="str">
        <x:v>https://www.nbim.no/en/news-and-insights/reports/2025/annual-report-2025/web-report-annual-report-2025/</x:v>
      </x:c>
      <x:c r="F11" s="382" t="str">
        <x:v>Requiere presupuesto operativo propio, escala, mandato y política de costes.</x:v>
      </x:c>
      <x:c r="G11" s="388" t="n">
        <x:v>0.0018</x:v>
      </x:c>
    </x:row>
    <x:row r="12" ht="58" customHeight="1">
      <x:c r="A12" s="384" t="str">
        <x:v>carencia_anios</x:v>
      </x:c>
      <x:c r="B12" s="384" t="str">
        <x:v>Regla institucional</x:v>
      </x:c>
      <x:c r="C12" s="384" t="str">
        <x:v>Supuesto de diseño</x:v>
      </x:c>
      <x:c r="D12" s="384" t="str">
        <x:v>Periodo propuesto sin distribuciones para acumular patrimonio.</x:v>
      </x:c>
      <x:c r="E12" s="384"/>
      <x:c r="F12" s="384" t="str">
        <x:v>No demuestra que la doble carga fiscal de transición sea financiable.</x:v>
      </x:c>
      <x:c r="G12" s="387" t="n">
        <x:v>18</x:v>
      </x:c>
    </x:row>
    <x:row r="13" ht="58" customHeight="1">
      <x:c r="A13" s="382" t="str">
        <x:v>tasa_distribucion_objetivo</x:v>
      </x:c>
      <x:c r="B13" s="382" t="str">
        <x:v>Regla institucional</x:v>
      </x:c>
      <x:c r="C13" s="382" t="str">
        <x:v>Supuesto de diseño</x:v>
      </x:c>
      <x:c r="D13" s="382" t="str">
        <x:v>Tasa objetivo aplicada al NAV suavizado después de la carencia.</x:v>
      </x:c>
      <x:c r="E13" s="382"/>
      <x:c r="F13" s="382" t="str">
        <x:v>No equivale a una tasa actuarialmente suficiente.</x:v>
      </x:c>
      <x:c r="G13" s="388" t="n">
        <x:v>0.015</x:v>
      </x:c>
    </x:row>
    <x:row r="14" ht="58" customHeight="1">
      <x:c r="A14" s="384" t="str">
        <x:v>ventana_suavizado</x:v>
      </x:c>
      <x:c r="B14" s="384" t="str">
        <x:v>Regla institucional</x:v>
      </x:c>
      <x:c r="C14" s="384" t="str">
        <x:v>Supuesto de diseño</x:v>
      </x:c>
      <x:c r="D14" s="384" t="str">
        <x:v>Ventana mecánica destinada a reducir variación anual de la base de reparto.</x:v>
      </x:c>
      <x:c r="E14" s="384"/>
      <x:c r="F14" s="384" t="str">
        <x:v>Su conveniencia debe compararse con ventanas alternativas.</x:v>
      </x:c>
      <x:c r="G14" s="387" t="n">
        <x:v>5</x:v>
      </x:c>
    </x:row>
    <x:row r="15" ht="58" customHeight="1">
      <x:c r="A15" s="382" t="str">
        <x:v>suelo_preservacion</x:v>
      </x:c>
      <x:c r="B15" s="382" t="str">
        <x:v>Regla institucional</x:v>
      </x:c>
      <x:c r="C15" s="382" t="str">
        <x:v>Supuesto de diseño</x:v>
      </x:c>
      <x:c r="D15" s="382" t="str">
        <x:v>Limita pagos para conservar un porcentaje de aportaciones netas de distribuciones.</x:v>
      </x:c>
      <x:c r="E15" s="382"/>
      <x:c r="F15" s="382" t="str">
        <x:v>No garantiza el principal ni preserva permanentemente el 90 % de aportaciones brutas.</x:v>
      </x:c>
      <x:c r="G15" s="388" t="n">
        <x:v>0.9</x:v>
      </x:c>
    </x:row>
    <x:row r="16" ht="58" customHeight="1">
      <x:c r="A16" s="384" t="str">
        <x:v>peso_renta_variable</x:v>
      </x:c>
      <x:c r="B16" s="384" t="str">
        <x:v>Cartera</x:v>
      </x:c>
      <x:c r="C16" s="384" t="str">
        <x:v>Asignación hipotética</x:v>
      </x:c>
      <x:c r="D16" s="384" t="str">
        <x:v>Peso central elegido para examinar una cartera pública diversificada.</x:v>
      </x:c>
      <x:c r="E16" s="384"/>
      <x:c r="F16" s="384" t="str">
        <x:v>No procede de una optimización estimada ni de una decisión fiduciaria real.</x:v>
      </x:c>
      <x:c r="G16" s="387" t="n">
        <x:v>0.65</x:v>
      </x:c>
    </x:row>
    <x:row r="17" ht="58" customHeight="1">
      <x:c r="A17" s="382" t="str">
        <x:v>peso_bonos</x:v>
      </x:c>
      <x:c r="B17" s="382" t="str">
        <x:v>Cartera</x:v>
      </x:c>
      <x:c r="C17" s="382" t="str">
        <x:v>Asignación hipotética</x:v>
      </x:c>
      <x:c r="D17" s="382" t="str">
        <x:v>Peso central elegido para el prototipo.</x:v>
      </x:c>
      <x:c r="E17" s="382"/>
      <x:c r="F17" s="382" t="str">
        <x:v>No procede de una optimización estimada.</x:v>
      </x:c>
      <x:c r="G17" s="388" t="n">
        <x:v>0.25</x:v>
      </x:c>
    </x:row>
    <x:row r="18" ht="58" customHeight="1">
      <x:c r="A18" s="384" t="str">
        <x:v>peso_liquidez</x:v>
      </x:c>
      <x:c r="B18" s="384" t="str">
        <x:v>Cartera</x:v>
      </x:c>
      <x:c r="C18" s="384" t="str">
        <x:v>Asignación hipotética</x:v>
      </x:c>
      <x:c r="D18" s="384" t="str">
        <x:v>Colchón simplificado de liquidez del prototipo.</x:v>
      </x:c>
      <x:c r="E18" s="384"/>
      <x:c r="F18" s="384" t="str">
        <x:v>No modela necesidades de liquidez, colateral ni llamadas de margen.</x:v>
      </x:c>
      <x:c r="G18" s="387" t="n">
        <x:v>0.1</x:v>
      </x:c>
    </x:row>
    <x:row r="19" ht="58" customHeight="1">
      <x:c r="A19" s="382" t="str">
        <x:v>retorno_real_rv</x:v>
      </x:c>
      <x:c r="B19" s="382" t="str">
        <x:v>Mercados</x:v>
      </x:c>
      <x:c r="C19" s="382" t="str">
        <x:v>Calibración analítica no estimada</x:v>
      </x:c>
      <x:c r="D19" s="382" t="str">
        <x:v>Retorno real central de renta variable. NBIM reportó 4,34 % real neto anualizado desde 1998 para su cartera total; se usa solo como benchmark institucional, no como estimador del PEE.</x:v>
      </x:c>
      <x:c r="E19" s="382" t="str">
        <x:v>https://www.nbim.no/en/news-and-insights/reports/2025/annual-report-2025/web-report-annual-report-2025/</x:v>
      </x:c>
      <x:c r="F19" s="382" t="str">
        <x:v>El rendimiento histórico de otra institución no garantiza retornos futuros ni valida este 5 %.</x:v>
      </x:c>
      <x:c r="G19" s="388" t="n">
        <x:v>0.05</x:v>
      </x:c>
    </x:row>
    <x:row r="20" ht="58" customHeight="1">
      <x:c r="A20" s="384" t="str">
        <x:v>retorno_real_bonos</x:v>
      </x:c>
      <x:c r="B20" s="384" t="str">
        <x:v>Mercados</x:v>
      </x:c>
      <x:c r="C20" s="384" t="str">
        <x:v>Calibración analítica no estimada</x:v>
      </x:c>
      <x:c r="D20" s="384" t="str">
        <x:v>Retorno real central de bonos para análisis condicionado.</x:v>
      </x:c>
      <x:c r="E20" s="384"/>
      <x:c r="F20" s="384" t="str">
        <x:v>Pendiente de estimación y contraste de sensibilidad.</x:v>
      </x:c>
      <x:c r="G20" s="387" t="n">
        <x:v>0.012</x:v>
      </x:c>
    </x:row>
    <x:row r="21" ht="58" customHeight="1">
      <x:c r="A21" s="382" t="str">
        <x:v>retorno_real_liquidez</x:v>
      </x:c>
      <x:c r="B21" s="382" t="str">
        <x:v>Mercados</x:v>
      </x:c>
      <x:c r="C21" s="382" t="str">
        <x:v>Calibración analítica no estimada</x:v>
      </x:c>
      <x:c r="D21" s="382" t="str">
        <x:v>Retorno real central de liquidez para análisis condicionado.</x:v>
      </x:c>
      <x:c r="E21" s="382"/>
      <x:c r="F21" s="382" t="str">
        <x:v>Pendiente de estimación y contraste de sensibilidad.</x:v>
      </x:c>
      <x:c r="G21" s="388" t="n">
        <x:v>0.003</x:v>
      </x:c>
    </x:row>
    <x:row r="22" ht="58" customHeight="1">
      <x:c r="A22" s="384" t="str">
        <x:v>vol_rv</x:v>
      </x:c>
      <x:c r="B22" s="384" t="str">
        <x:v>Riesgo de mercado</x:v>
      </x:c>
      <x:c r="C22" s="384" t="str">
        <x:v>Calibración no estimada</x:v>
      </x:c>
      <x:c r="D22" s="384" t="str">
        <x:v>Dispersión anual de renta variable usada en el generador estocástico.</x:v>
      </x:c>
      <x:c r="E22" s="384"/>
      <x:c r="F22" s="384" t="str">
        <x:v>No es una volatilidad histórica estimada para la cartera PEE.</x:v>
      </x:c>
      <x:c r="G22" s="387" t="n">
        <x:v>0.16</x:v>
      </x:c>
    </x:row>
    <x:row r="23" ht="58" customHeight="1">
      <x:c r="A23" s="382" t="str">
        <x:v>vol_bonos</x:v>
      </x:c>
      <x:c r="B23" s="382" t="str">
        <x:v>Riesgo de mercado</x:v>
      </x:c>
      <x:c r="C23" s="382" t="str">
        <x:v>Calibración no estimada</x:v>
      </x:c>
      <x:c r="D23" s="382" t="str">
        <x:v>Dispersión anual de bonos usada en el generador estocástico.</x:v>
      </x:c>
      <x:c r="E23" s="382"/>
      <x:c r="F23" s="382" t="str">
        <x:v>No incorpora cambios de régimen ni estructura temporal.</x:v>
      </x:c>
      <x:c r="G23" s="388" t="n">
        <x:v>0.05</x:v>
      </x:c>
    </x:row>
    <x:row r="24" ht="58" customHeight="1">
      <x:c r="A24" s="384" t="str">
        <x:v>vol_liquidez</x:v>
      </x:c>
      <x:c r="B24" s="384" t="str">
        <x:v>Riesgo de mercado</x:v>
      </x:c>
      <x:c r="C24" s="384" t="str">
        <x:v>Calibración no estimada</x:v>
      </x:c>
      <x:c r="D24" s="384" t="str">
        <x:v>Dispersión anual de liquidez usada en el generador estocástico.</x:v>
      </x:c>
      <x:c r="E24" s="384"/>
      <x:c r="F24" s="384" t="str">
        <x:v>No modela inflación estocástica separada.</x:v>
      </x:c>
      <x:c r="G24" s="387" t="n">
        <x:v>0.01</x:v>
      </x:c>
    </x:row>
    <x:row r="25" ht="58" customHeight="1">
      <x:c r="A25" s="382" t="str">
        <x:v>correlacion_rv_bonos</x:v>
      </x:c>
      <x:c r="B25" s="382" t="str">
        <x:v>Dependencia</x:v>
      </x:c>
      <x:c r="C25" s="382" t="str">
        <x:v>Calibración no estimada</x:v>
      </x:c>
      <x:c r="D25" s="382" t="str">
        <x:v>Dependencia lineal fija del prototipo.</x:v>
      </x:c>
      <x:c r="E25" s="382"/>
      <x:c r="F25" s="382" t="str">
        <x:v>Las correlaciones pueden cambiar durante crisis.</x:v>
      </x:c>
      <x:c r="G25" s="388" t="n">
        <x:v>-0.1</x:v>
      </x:c>
    </x:row>
    <x:row r="26" ht="58" customHeight="1">
      <x:c r="A26" s="384" t="str">
        <x:v>correlacion_rv_liquidez</x:v>
      </x:c>
      <x:c r="B26" s="384" t="str">
        <x:v>Dependencia</x:v>
      </x:c>
      <x:c r="C26" s="384" t="str">
        <x:v>Calibración no estimada</x:v>
      </x:c>
      <x:c r="D26" s="384" t="str">
        <x:v>Dependencia lineal fija del prototipo.</x:v>
      </x:c>
      <x:c r="E26" s="384"/>
      <x:c r="F26" s="384" t="str">
        <x:v>No es una estimación empírica.</x:v>
      </x:c>
      <x:c r="G26" s="387" t="n">
        <x:v>0.05</x:v>
      </x:c>
    </x:row>
    <x:row r="27" ht="58" customHeight="1">
      <x:c r="A27" s="382" t="str">
        <x:v>correlacion_bonos_liquidez</x:v>
      </x:c>
      <x:c r="B27" s="382" t="str">
        <x:v>Dependencia</x:v>
      </x:c>
      <x:c r="C27" s="382" t="str">
        <x:v>Calibración no estimada</x:v>
      </x:c>
      <x:c r="D27" s="382" t="str">
        <x:v>Dependencia lineal fija del prototipo.</x:v>
      </x:c>
      <x:c r="E27" s="382"/>
      <x:c r="F27" s="382" t="str">
        <x:v>No es una estimación empírica.</x:v>
      </x:c>
      <x:c r="G27" s="388" t="n">
        <x:v>0.2</x:v>
      </x:c>
    </x:row>
    <x:row r="28" ht="58" customHeight="1">
      <x:c r="A28" s="384" t="str">
        <x:v>vol_crecimiento_aportaciones</x:v>
      </x:c>
      <x:c r="B28" s="384" t="str">
        <x:v>Riesgo macroeconómico</x:v>
      </x:c>
      <x:c r="C28" s="384" t="str">
        <x:v>Calibración no estimada</x:v>
      </x:c>
      <x:c r="D28" s="384" t="str">
        <x:v>Dispersión anual de la tasa de crecimiento de aportaciones.</x:v>
      </x:c>
      <x:c r="E28" s="384"/>
      <x:c r="F28" s="384" t="str">
        <x:v>No sustituye un modelo de salarios, empleo o base fiscal.</x:v>
      </x:c>
      <x:c r="G28" s="387" t="n">
        <x:v>0.01</x:v>
      </x:c>
    </x:row>
    <x:row r="29" ht="58" customHeight="1">
      <x:c r="A29" s="382" t="str">
        <x:v>correlacion_mercado_aportaciones</x:v>
      </x:c>
      <x:c r="B29" s="382" t="str">
        <x:v>Dependencia macrofinanciera</x:v>
      </x:c>
      <x:c r="C29" s="382" t="str">
        <x:v>Calibración no estimada</x:v>
      </x:c>
      <x:c r="D29" s="382" t="str">
        <x:v>Vincula de forma simplificada mercado y crecimiento de aportaciones.</x:v>
      </x:c>
      <x:c r="E29" s="382"/>
      <x:c r="F29" s="382" t="str">
        <x:v>No es una relación causal estimada.</x:v>
      </x:c>
      <x:c r="G29" s="388" t="n">
        <x:v>0.25</x:v>
      </x:c>
    </x:row>
    <x:row r="30" ht="58" customHeight="1">
      <x:c r="A30" s="384" t="str">
        <x:v>grados_libertad_t</x:v>
      </x:c>
      <x:c r="B30" s="384" t="str">
        <x:v>Colas</x:v>
      </x:c>
      <x:c r="C30" s="384" t="str">
        <x:v>Elección de forma distributiva</x:v>
      </x:c>
      <x:c r="D30" s="384" t="str">
        <x:v>Student-t con seis grados de libertad para representar colas más pesadas que una normal.</x:v>
      </x:c>
      <x:c r="E30" s="384"/>
      <x:c r="F30" s="384" t="str">
        <x:v>No se ha estimado por máxima verosimilitud ni validado fuera de muestra.</x:v>
      </x:c>
      <x:c r="G30" s="387" t="n">
        <x:v>6</x:v>
      </x:c>
    </x:row>
    <x:row r="31" ht="58" customHeight="1">
      <x:c r="A31" s="382" t="str">
        <x:v>probabilidad_crisis_anual</x:v>
      </x:c>
      <x:c r="B31" s="382" t="str">
        <x:v>Régimen de crisis</x:v>
      </x:c>
      <x:c r="C31" s="382" t="str">
        <x:v>Calibración diagnóstica</x:v>
      </x:c>
      <x:c r="D31" s="382" t="str">
        <x:v>Frecuencia hipotética usada para someter la regla a episodios adversos.</x:v>
      </x:c>
      <x:c r="E31" s="382"/>
      <x:c r="F31" s="382" t="str">
        <x:v>No es una frecuencia histórica estimada.</x:v>
      </x:c>
      <x:c r="G31" s="388" t="n">
        <x:v>0.025</x:v>
      </x:c>
    </x:row>
    <x:row r="32" ht="58" customHeight="1">
      <x:c r="A32" s="384" t="str">
        <x:v>choque_crisis_rv</x:v>
      </x:c>
      <x:c r="B32" s="384" t="str">
        <x:v>Régimen de crisis</x:v>
      </x:c>
      <x:c r="C32" s="384" t="str">
        <x:v>Calibración diagnóstica</x:v>
      </x:c>
      <x:c r="D32" s="384" t="str">
        <x:v>Desplazamiento aditivo de renta variable en un año de crisis simulado.</x:v>
      </x:c>
      <x:c r="E32" s="384"/>
      <x:c r="F32" s="384" t="str">
        <x:v>El choque no tiene probabilidad empírica propia.</x:v>
      </x:c>
      <x:c r="G32" s="387" t="n">
        <x:v>-0.22</x:v>
      </x:c>
    </x:row>
    <x:row r="33" ht="58" customHeight="1">
      <x:c r="A33" s="382" t="str">
        <x:v>choque_crisis_bonos</x:v>
      </x:c>
      <x:c r="B33" s="382" t="str">
        <x:v>Régimen de crisis</x:v>
      </x:c>
      <x:c r="C33" s="382" t="str">
        <x:v>Calibración diagnóstica</x:v>
      </x:c>
      <x:c r="D33" s="382" t="str">
        <x:v>Desplazamiento aditivo de bonos en un año de crisis simulado.</x:v>
      </x:c>
      <x:c r="E33" s="382"/>
      <x:c r="F33" s="382" t="str">
        <x:v>El choque no tiene probabilidad empírica propia.</x:v>
      </x:c>
      <x:c r="G33" s="388" t="n">
        <x:v>-0.035</x:v>
      </x:c>
    </x:row>
    <x:row r="34" ht="58" customHeight="1">
      <x:c r="A34" s="384" t="str">
        <x:v>choque_crisis_aportaciones</x:v>
      </x:c>
      <x:c r="B34" s="384" t="str">
        <x:v>Régimen de crisis</x:v>
      </x:c>
      <x:c r="C34" s="384" t="str">
        <x:v>Calibración diagnóstica</x:v>
      </x:c>
      <x:c r="D34" s="384" t="str">
        <x:v>Desplazamiento aditivo del crecimiento de aportaciones en crisis.</x:v>
      </x:c>
      <x:c r="E34" s="384"/>
      <x:c r="F34" s="384" t="str">
        <x:v>No procede de una elasticidad estimada.</x:v>
      </x:c>
      <x:c r="G34" s="387" t="n">
        <x:v>-0.025</x:v>
      </x:c>
    </x:row>
    <x:row r="35" ht="58" customHeight="1">
      <x:c r="A35" s="382" t="str">
        <x:v>semilla</x:v>
      </x:c>
      <x:c r="B35" s="382" t="str">
        <x:v>Reproducibilidad</x:v>
      </x:c>
      <x:c r="C35" s="382" t="str">
        <x:v>Convención computacional</x:v>
      </x:c>
      <x:c r="D35" s="382" t="str">
        <x:v>Fija la secuencia pseudoaleatoria para que la ejecución sea repetible.</x:v>
      </x:c>
      <x:c r="E35" s="382"/>
      <x:c r="F35" s="382" t="str">
        <x:v>Cambiar la semilla debe alterar solo el error de simulación, no el diseño.</x:v>
      </x:c>
      <x:c r="G35" s="388" t="n">
        <x:v>2026</x:v>
      </x:c>
    </x:row>
    <x:row r="36" ht="58" customHeight="1">
      <x:c r="A36" s="384" t="str">
        <x:v>retorno_real_cartera_base</x:v>
      </x:c>
      <x:c r="B36" s="384" t="str">
        <x:v>Parámetro derivado</x:v>
      </x:c>
      <x:c r="C36" s="384" t="str">
        <x:v>Identidad matemática</x:v>
      </x:c>
      <x:c r="D36" s="384" t="str">
        <x:v>Media ponderada de retornos de activos antes de costes y sin régimen de crisis.</x:v>
      </x:c>
      <x:c r="E36" s="384"/>
      <x:c r="F36" s="384" t="str">
        <x:v>No denominar retorno esperado incondicional del Monte Carlo.</x:v>
      </x:c>
      <x:c r="G36" s="387" t="n">
        <x:v>0.0358</x:v>
      </x:c>
    </x:row>
    <x:row r="37" ht="58" customHeight="1">
      <x:c r="A37" s="382" t="str">
        <x:v>retorno_real_medio_incondicional_mc</x:v>
      </x:c>
      <x:c r="B37" s="382" t="str">
        <x:v>Parámetro derivado</x:v>
      </x:c>
      <x:c r="C37" s="382" t="str">
        <x:v>Aproximación matemática</x:v>
      </x:c>
      <x:c r="D37" s="382" t="str">
        <x:v>Retorno base más el choque medio del régimen de crisis, antes del truncamiento.</x:v>
      </x:c>
      <x:c r="E37" s="382"/>
      <x:c r="F37" s="382" t="str">
        <x:v>Sigue dependiendo de calibraciones no estimadas.</x:v>
      </x:c>
      <x:c r="G37" s="388" t="n">
        <x:v>0.03200625</x:v>
      </x:c>
    </x:row>
    <x:row r="38" ht="58" customHeight="1">
      <x:c r="A38" s="385" t="str">
        <x:v>crecimiento_aportaciones_medio_incondicional_mc</x:v>
      </x:c>
      <x:c r="B38" s="385" t="str">
        <x:v>Parámetro derivado</x:v>
      </x:c>
      <x:c r="C38" s="385" t="str">
        <x:v>Aproximación matemática</x:v>
      </x:c>
      <x:c r="D38" s="385" t="str">
        <x:v>Crecimiento base más el choque medio del régimen de crisis, antes del truncamiento.</x:v>
      </x:c>
      <x:c r="E38" s="385"/>
      <x:c r="F38" s="385" t="str">
        <x:v>Sigue dependiendo de calibraciones no estimadas.</x:v>
      </x:c>
      <x:c r="G38" s="389" t="n">
        <x:v>0.007375</x:v>
      </x:c>
    </x:row>
    <x:row r="39" ht="58" customHeight="1">
      <x:c r="G39" s="424"/>
    </x:row>
    <x:row r="40" ht="58" customHeight="1">
      <x:c r="G40" s="424"/>
    </x:row>
  </x:sheetData>
  <x:mergeCells>
    <x:mergeCell ref="A1:G1"/>
    <x:mergeCell ref="A2:G2"/>
  </x:mergeCells>
  <x:pageMargins left="0.7" right="0.7" top="0.75" bottom="0.75" header="0.3" footer="0.3"/>
</x:worksheet>
</file>